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5225"/>
  <workbookPr dateCompatibility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GBC Work\LEED Development\v4.1 Development\Calculators in Development\v4.1 Renewable Energy\"/>
    </mc:Choice>
  </mc:AlternateContent>
  <xr:revisionPtr revIDLastSave="0" documentId="13_ncr:9_{1BE9955A-0206-41F4-86CE-8CE83319186D}" xr6:coauthVersionLast="47" xr6:coauthVersionMax="47" xr10:uidLastSave="{00000000-0000-0000-0000-000000000000}"/>
  <workbookProtection workbookAlgorithmName="SHA-512" workbookHashValue="aP1GOb+hv8YDOEfl4V1UZTInSUgkbTz6zDpiwlkXmmETEkFluQb4q8m/jE2+1UqilK5vtv5Emq0fAWHDCUcpnQ==" workbookSaltValue="msQMvksNi6QGXtNXgkDbtg==" workbookSpinCount="100000" lockStructure="1"/>
  <bookViews>
    <workbookView xWindow="-28920" yWindow="-120" windowWidth="29040" windowHeight="15840" tabRatio="804" xr2:uid="{00000000-000D-0000-FFFF-FFFF00000000}"/>
  </bookViews>
  <sheets>
    <sheet name="Instructions" sheetId="11" r:id="rId1"/>
    <sheet name="Renewable Energy" sheetId="18" r:id="rId2"/>
    <sheet name="Site_Energy_No_Model" sheetId="22" r:id="rId3"/>
    <sheet name="Summary" sheetId="24" r:id="rId4"/>
    <sheet name="LookupData" sheetId="21" state="hidden" r:id="rId5"/>
  </sheets>
  <definedNames>
    <definedName name="_xlnm._FilterDatabase" localSheetId="0" hidden="1">#REF!</definedName>
    <definedName name="_xlnm._FilterDatabase" localSheetId="1" hidden="1">'Renewable Energy'!#REF!</definedName>
    <definedName name="Building_Type_List">Site_Energy_No_Model!$C$30:$C$110</definedName>
    <definedName name="Building_Type_Table">Site_Energy_No_Model!$C$30:$Q$110</definedName>
    <definedName name="Contract_Date_List">LookupData!$AI$1:$AI$2</definedName>
    <definedName name="Contract_Length_List">IFERROR(IF(ISBLANK('Renewable Energy'!$E1),Select_Contract_Length,IF('Renewable Energy'!$E1="Owned","N/A (owned)",Select_Contract_Length)),Select_Contract_Length)</definedName>
    <definedName name="Contract_Years" localSheetId="1">IFERROR('Renewable Energy'!$F1^2/'Renewable Energy'!$F1,IFERROR(VLOOKUP('Renewable Energy'!$F1,Years_Lookup,2,FALSE),1))</definedName>
    <definedName name="Default_Cooling_Units">IF(IP_SI_Units="IP Units","Ton Hours","kWh")</definedName>
    <definedName name="Default_Elec_Units">IF(IP_SI_Units="IP Units","kWh","kWh")</definedName>
    <definedName name="Default_Electricity_No_Model">Site_Energy_No_Model!$J$21</definedName>
    <definedName name="Default_Fuel_No_Model">Site_Energy_No_Model!$K$21</definedName>
    <definedName name="Default_Fuel_Units">IF(IP_SI_Units="IP Units","therm","kWh")</definedName>
    <definedName name="Default_Gen_Type" localSheetId="1">IFERROR(IF(ISBLANK('Renewable Energy'!$C1),"",VLOOKUP('Renewable Energy'!$C1,Renewable_Source_Table,2,FALSE)),"Electricity")</definedName>
    <definedName name="Default_Heating_Units">IF(IP_SI_Units="IP Units","Btu x 10^6","kWh")</definedName>
    <definedName name="Default_Renewable_Units">IF(ISBLANK('Renewable Energy'!$C1),"",IFERROR(VLOOKUP('Renewable Energy'!$D1,Site_Energy_Table,3,FALSE),Default_Total_Units))</definedName>
    <definedName name="Default_Total_Units">IF(IP_SI_Units="IP Units","Btu x 10^6","MWh")</definedName>
    <definedName name="Energy_Units_List">LookupData!$G$2:$G$8</definedName>
    <definedName name="Energy_Units_Table">LookupData!$G$2:$H$8</definedName>
    <definedName name="IP_SI_Units">Instructions!$J$8</definedName>
    <definedName name="LEED_Renewable_Category">LookupData!$A$2:$A$4</definedName>
    <definedName name="Lookup_Tier1_Points">LookupData!$AR$3:$AU$53</definedName>
    <definedName name="Lookup_Tier2_Points">LookupData!$AS$3:$AU$53</definedName>
    <definedName name="Lookup_Tier3_Points">LookupData!$AT$3:$AU$33</definedName>
    <definedName name="NA_owned">LookupData!$AE$14:$AE$15</definedName>
    <definedName name="Renewable_Location_Table">LookupData!$M$3:$O$6</definedName>
    <definedName name="Renewable_Source_Table">LookupData!$V$21:$W$40</definedName>
    <definedName name="Select_Contract_Length">LookupData!$AE$2:$AE$14</definedName>
    <definedName name="Site_Energy_Table">'Renewable Energy'!$B$13:$D$17</definedName>
    <definedName name="Tier1_Location_List">LookupData!$M$4:$M$6</definedName>
    <definedName name="Tier1_Procurement_Type">LookupData!$R$2:$R$5</definedName>
    <definedName name="Tier1_Renewable_Type">LookupData!$V$2:$V$15</definedName>
    <definedName name="Tier2_3_Location_List">LookupData!$N$4:$N$6</definedName>
    <definedName name="Tier2_Procurement_Type">LookupData!$S$2:$S$10</definedName>
    <definedName name="Tier2_Renewable_Type">LookupData!$Y$2:$Y$9</definedName>
    <definedName name="Tier3_Procurement_Type">LookupData!$T$2:$T$10</definedName>
    <definedName name="Tier3_Renewable_Type">LookupData!$AA$2:$AA$11</definedName>
    <definedName name="Units_Consumption">LookupData!$G$2:$G$8</definedName>
    <definedName name="Years_Lookup">LookupData!$AE$2:$AF$14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Q27" i="18" l="1"/>
  <c r="D18" i="18" a="1"/>
  <c r="D18" i="18" s="1"/>
  <c r="D17" i="18" a="1"/>
  <c r="D17" i="18" s="1"/>
  <c r="X17" i="18" s="1"/>
  <c r="D16" i="18" a="1"/>
  <c r="D16" i="18" s="1"/>
  <c r="X16" i="18" s="1"/>
  <c r="D15" i="18" a="1"/>
  <c r="D15" i="18" s="1"/>
  <c r="X15" i="18" s="1"/>
  <c r="D14" i="18" a="1"/>
  <c r="D14" i="18" s="1"/>
  <c r="X14" i="18" s="1"/>
  <c r="O28" i="18" a="1"/>
  <c r="O28" i="18" s="1"/>
  <c r="O27" i="18" a="1"/>
  <c r="O27" i="18" s="1"/>
  <c r="D21" i="22"/>
  <c r="AT33" i="21"/>
  <c r="AT13" i="21"/>
  <c r="AT23" i="21"/>
  <c r="AS55" i="21"/>
  <c r="AS53" i="21"/>
  <c r="AS52" i="21"/>
  <c r="AS51" i="21"/>
  <c r="AS50" i="21"/>
  <c r="AS49" i="21"/>
  <c r="AS48" i="21"/>
  <c r="AS47" i="21"/>
  <c r="AS46" i="21"/>
  <c r="AS45" i="21"/>
  <c r="AS44" i="21"/>
  <c r="AS43" i="21"/>
  <c r="AS42" i="21"/>
  <c r="AS41" i="21"/>
  <c r="AS40" i="21"/>
  <c r="AS39" i="21"/>
  <c r="AS38" i="21"/>
  <c r="AS37" i="21"/>
  <c r="AS36" i="21"/>
  <c r="AS35" i="21"/>
  <c r="AS34" i="21"/>
  <c r="AS33" i="21"/>
  <c r="AS32" i="21"/>
  <c r="AS31" i="21"/>
  <c r="AS30" i="21"/>
  <c r="AS29" i="21"/>
  <c r="AS28" i="21"/>
  <c r="AS27" i="21"/>
  <c r="AS26" i="21"/>
  <c r="AS25" i="21"/>
  <c r="AS24" i="21"/>
  <c r="AS23" i="21"/>
  <c r="AS22" i="21"/>
  <c r="AS21" i="21"/>
  <c r="AS20" i="21"/>
  <c r="AS19" i="21"/>
  <c r="AS18" i="21"/>
  <c r="AS17" i="21"/>
  <c r="AS16" i="21"/>
  <c r="AS15" i="21"/>
  <c r="AS14" i="21"/>
  <c r="AS13" i="21"/>
  <c r="AS12" i="21"/>
  <c r="AS11" i="21"/>
  <c r="AS10" i="21"/>
  <c r="AS9" i="21"/>
  <c r="AS8" i="21"/>
  <c r="AS7" i="21"/>
  <c r="AS6" i="21"/>
  <c r="AS5" i="21"/>
  <c r="AS4" i="21"/>
  <c r="AR55" i="21"/>
  <c r="AR24" i="21"/>
  <c r="AR23" i="21"/>
  <c r="AR13" i="21"/>
  <c r="N36" i="18" a="1"/>
  <c r="N36" i="18" s="1"/>
  <c r="N35" i="18" a="1"/>
  <c r="N35" i="18" s="1"/>
  <c r="N34" i="18" a="1"/>
  <c r="N34" i="18" s="1"/>
  <c r="N33" i="18" a="1"/>
  <c r="N33" i="18" s="1"/>
  <c r="N32" i="18" a="1"/>
  <c r="N32" i="18" s="1"/>
  <c r="N31" i="18" a="1"/>
  <c r="N31" i="18" s="1"/>
  <c r="N30" i="18" a="1"/>
  <c r="N30" i="18" s="1"/>
  <c r="N29" i="18" a="1"/>
  <c r="N29" i="18" s="1"/>
  <c r="N28" i="18" a="1"/>
  <c r="N28" i="18" s="1"/>
  <c r="D13" i="18" a="1"/>
  <c r="D13" i="18" s="1"/>
  <c r="X13" i="18" s="1"/>
  <c r="D21" i="18" l="1"/>
  <c r="D20" i="18"/>
  <c r="D19" i="18"/>
  <c r="X19" i="18"/>
  <c r="X20" i="18"/>
  <c r="X18" i="18"/>
  <c r="X21" i="18"/>
  <c r="AQ33" i="21" l="1"/>
  <c r="AU33" i="21"/>
  <c r="AQ34" i="21"/>
  <c r="AQ35" i="21" s="1"/>
  <c r="AU34" i="21"/>
  <c r="AQ23" i="21"/>
  <c r="AU23" i="21"/>
  <c r="AR25" i="21"/>
  <c r="AR26" i="21" s="1"/>
  <c r="AR27" i="21" s="1"/>
  <c r="AR28" i="21" s="1"/>
  <c r="AR29" i="21" s="1"/>
  <c r="AR30" i="21" s="1"/>
  <c r="AR31" i="21" s="1"/>
  <c r="AR32" i="21" s="1"/>
  <c r="AU3" i="21"/>
  <c r="AU4" i="21"/>
  <c r="AQ6" i="21"/>
  <c r="AQ7" i="21" s="1"/>
  <c r="AQ8" i="21" s="1"/>
  <c r="AQ9" i="21" s="1"/>
  <c r="AQ10" i="21" s="1"/>
  <c r="AQ11" i="21" s="1"/>
  <c r="AQ12" i="21" s="1"/>
  <c r="AQ13" i="21" s="1"/>
  <c r="AQ14" i="21" s="1"/>
  <c r="AQ15" i="21" s="1"/>
  <c r="AQ16" i="21" s="1"/>
  <c r="AQ17" i="21" s="1"/>
  <c r="AQ18" i="21" s="1"/>
  <c r="AQ19" i="21" s="1"/>
  <c r="AQ20" i="21" s="1"/>
  <c r="AQ21" i="21" s="1"/>
  <c r="AQ22" i="21" s="1"/>
  <c r="AQ24" i="21" s="1"/>
  <c r="AU24" i="21" s="1"/>
  <c r="AQ5" i="21"/>
  <c r="AU5" i="21" s="1"/>
  <c r="AN19" i="21"/>
  <c r="AN20" i="21" s="1"/>
  <c r="AN21" i="21" s="1"/>
  <c r="AN22" i="21" s="1"/>
  <c r="AN23" i="21" s="1"/>
  <c r="AN7" i="21"/>
  <c r="AN8" i="21"/>
  <c r="AR33" i="21" l="1"/>
  <c r="AR34" i="21" s="1"/>
  <c r="AR35" i="21" s="1"/>
  <c r="AR36" i="21" s="1"/>
  <c r="AR37" i="21" s="1"/>
  <c r="AR38" i="21" s="1"/>
  <c r="AR39" i="21" s="1"/>
  <c r="AR40" i="21" s="1"/>
  <c r="AR41" i="21" s="1"/>
  <c r="AR42" i="21" s="1"/>
  <c r="AR43" i="21" s="1"/>
  <c r="AR44" i="21" s="1"/>
  <c r="AR45" i="21" s="1"/>
  <c r="AR46" i="21" s="1"/>
  <c r="AR47" i="21" s="1"/>
  <c r="AR48" i="21" s="1"/>
  <c r="AR49" i="21" s="1"/>
  <c r="AR50" i="21" s="1"/>
  <c r="AR51" i="21" s="1"/>
  <c r="AR52" i="21" s="1"/>
  <c r="AR53" i="21" s="1"/>
  <c r="AU35" i="21"/>
  <c r="AQ36" i="21"/>
  <c r="AU20" i="21"/>
  <c r="AU12" i="21"/>
  <c r="AQ25" i="21"/>
  <c r="AU19" i="21"/>
  <c r="AU11" i="21"/>
  <c r="AU18" i="21"/>
  <c r="AU10" i="21"/>
  <c r="AU16" i="21"/>
  <c r="AU8" i="21"/>
  <c r="AU17" i="21"/>
  <c r="AU15" i="21"/>
  <c r="AU7" i="21"/>
  <c r="AU22" i="21"/>
  <c r="AU14" i="21"/>
  <c r="AU6" i="21"/>
  <c r="AU9" i="21"/>
  <c r="AU21" i="21"/>
  <c r="AU13" i="21"/>
  <c r="AN10" i="21"/>
  <c r="D13" i="22"/>
  <c r="AQ37" i="21" l="1"/>
  <c r="AU36" i="21"/>
  <c r="AQ26" i="21"/>
  <c r="AU25" i="21"/>
  <c r="AU37" i="21" l="1"/>
  <c r="AQ27" i="21"/>
  <c r="AU26" i="21"/>
  <c r="AQ28" i="21" l="1"/>
  <c r="AU27" i="21"/>
  <c r="AQ29" i="21" l="1"/>
  <c r="AU28" i="21"/>
  <c r="AQ30" i="21" l="1"/>
  <c r="AU29" i="21"/>
  <c r="AQ31" i="21" l="1"/>
  <c r="AU30" i="21"/>
  <c r="AQ32" i="21" l="1"/>
  <c r="AU31" i="21"/>
  <c r="AU32" i="21" l="1"/>
  <c r="AQ38" i="21" l="1"/>
  <c r="AQ39" i="21" l="1"/>
  <c r="AU38" i="21"/>
  <c r="AU39" i="21" l="1"/>
  <c r="AQ40" i="21"/>
  <c r="AQ41" i="21" l="1"/>
  <c r="AU40" i="21"/>
  <c r="AQ42" i="21" l="1"/>
  <c r="AU41" i="21"/>
  <c r="AQ43" i="21" l="1"/>
  <c r="AU42" i="21"/>
  <c r="AQ44" i="21" l="1"/>
  <c r="AU43" i="21"/>
  <c r="AQ45" i="21" l="1"/>
  <c r="AU44" i="21"/>
  <c r="AQ46" i="21" l="1"/>
  <c r="AU45" i="21"/>
  <c r="AQ47" i="21" l="1"/>
  <c r="AU46" i="21"/>
  <c r="AQ48" i="21" l="1"/>
  <c r="AU47" i="21"/>
  <c r="AQ49" i="21" l="1"/>
  <c r="AU48" i="21"/>
  <c r="AU49" i="21" l="1"/>
  <c r="AQ50" i="21"/>
  <c r="AQ51" i="21" l="1"/>
  <c r="AU50" i="21"/>
  <c r="AQ52" i="21" l="1"/>
  <c r="AU51" i="21"/>
  <c r="AQ53" i="21" l="1"/>
  <c r="AU52" i="21"/>
  <c r="AU53" i="21" l="1"/>
  <c r="H20" i="22" l="1"/>
  <c r="G20" i="22"/>
  <c r="J20" i="22" s="1"/>
  <c r="H19" i="22"/>
  <c r="K19" i="22" s="1"/>
  <c r="G19" i="22"/>
  <c r="J19" i="22" s="1"/>
  <c r="H18" i="22"/>
  <c r="G18" i="22"/>
  <c r="J18" i="22" s="1"/>
  <c r="H17" i="22"/>
  <c r="K17" i="22" s="1"/>
  <c r="G17" i="22"/>
  <c r="J17" i="22" s="1"/>
  <c r="H16" i="22"/>
  <c r="K16" i="22" s="1"/>
  <c r="G16" i="22"/>
  <c r="J16" i="22" s="1"/>
  <c r="H15" i="22"/>
  <c r="K15" i="22" s="1"/>
  <c r="G15" i="22"/>
  <c r="J15" i="22" s="1"/>
  <c r="K20" i="22"/>
  <c r="K18" i="22"/>
  <c r="Q36" i="18"/>
  <c r="Q35" i="18"/>
  <c r="Q34" i="18"/>
  <c r="Q33" i="18"/>
  <c r="Q32" i="18"/>
  <c r="O36" i="18" a="1"/>
  <c r="O36" i="18" s="1"/>
  <c r="O35" i="18" a="1"/>
  <c r="O35" i="18" s="1"/>
  <c r="O34" i="18" a="1"/>
  <c r="O34" i="18" s="1"/>
  <c r="O33" i="18" a="1"/>
  <c r="O33" i="18" s="1"/>
  <c r="O32" i="18" a="1"/>
  <c r="O32" i="18" s="1"/>
  <c r="H13" i="22"/>
  <c r="K13" i="22"/>
  <c r="G103" i="22"/>
  <c r="G102" i="22"/>
  <c r="H102" i="22" s="1"/>
  <c r="G101" i="22"/>
  <c r="G100" i="22"/>
  <c r="H100" i="22" s="1"/>
  <c r="G99" i="22"/>
  <c r="M13" i="22"/>
  <c r="J13" i="22"/>
  <c r="G13" i="22"/>
  <c r="G77" i="22"/>
  <c r="H77" i="22" s="1"/>
  <c r="G78" i="22"/>
  <c r="H78" i="22" s="1"/>
  <c r="G79" i="22"/>
  <c r="H79" i="22" s="1"/>
  <c r="G110" i="22"/>
  <c r="G109" i="22"/>
  <c r="H109" i="22" s="1"/>
  <c r="G108" i="22"/>
  <c r="G107" i="22"/>
  <c r="H107" i="22" s="1"/>
  <c r="G106" i="22"/>
  <c r="H106" i="22" s="1"/>
  <c r="G105" i="22"/>
  <c r="H105" i="22" s="1"/>
  <c r="G104" i="22"/>
  <c r="H104" i="22" s="1"/>
  <c r="G98" i="22"/>
  <c r="H98" i="22" s="1"/>
  <c r="G97" i="22"/>
  <c r="G96" i="22"/>
  <c r="G95" i="22"/>
  <c r="H95" i="22" s="1"/>
  <c r="G94" i="22"/>
  <c r="G93" i="22"/>
  <c r="G92" i="22"/>
  <c r="G91" i="22"/>
  <c r="H91" i="22" s="1"/>
  <c r="G90" i="22"/>
  <c r="H90" i="22" s="1"/>
  <c r="G89" i="22"/>
  <c r="G88" i="22"/>
  <c r="G87" i="22"/>
  <c r="H87" i="22" s="1"/>
  <c r="G86" i="22"/>
  <c r="G85" i="22"/>
  <c r="G84" i="22"/>
  <c r="G83" i="22"/>
  <c r="H83" i="22" s="1"/>
  <c r="G82" i="22"/>
  <c r="H82" i="22" s="1"/>
  <c r="G81" i="22"/>
  <c r="G80" i="22"/>
  <c r="G76" i="22"/>
  <c r="G75" i="22"/>
  <c r="H75" i="22" s="1"/>
  <c r="G74" i="22"/>
  <c r="G73" i="22"/>
  <c r="H73" i="22" s="1"/>
  <c r="G72" i="22"/>
  <c r="G71" i="22"/>
  <c r="H71" i="22" s="1"/>
  <c r="G70" i="22"/>
  <c r="G69" i="22"/>
  <c r="G68" i="22"/>
  <c r="G67" i="22"/>
  <c r="H67" i="22" s="1"/>
  <c r="G66" i="22"/>
  <c r="H66" i="22" s="1"/>
  <c r="G65" i="22"/>
  <c r="G64" i="22"/>
  <c r="G63" i="22"/>
  <c r="H63" i="22" s="1"/>
  <c r="G62" i="22"/>
  <c r="G61" i="22"/>
  <c r="G60" i="22"/>
  <c r="H60" i="22" s="1"/>
  <c r="G59" i="22"/>
  <c r="H59" i="22" s="1"/>
  <c r="G58" i="22"/>
  <c r="H58" i="22" s="1"/>
  <c r="G57" i="22"/>
  <c r="H57" i="22" s="1"/>
  <c r="G56" i="22"/>
  <c r="G55" i="22"/>
  <c r="H55" i="22" s="1"/>
  <c r="G54" i="22"/>
  <c r="H54" i="22" s="1"/>
  <c r="G53" i="22"/>
  <c r="G52" i="22"/>
  <c r="G51" i="22"/>
  <c r="H51" i="22" s="1"/>
  <c r="G50" i="22"/>
  <c r="G49" i="22"/>
  <c r="G48" i="22"/>
  <c r="G47" i="22"/>
  <c r="H47" i="22" s="1"/>
  <c r="G46" i="22"/>
  <c r="G45" i="22"/>
  <c r="G44" i="22"/>
  <c r="G43" i="22"/>
  <c r="H43" i="22" s="1"/>
  <c r="G42" i="22"/>
  <c r="H42" i="22" s="1"/>
  <c r="G41" i="22"/>
  <c r="G40" i="22"/>
  <c r="G39" i="22"/>
  <c r="H39" i="22" s="1"/>
  <c r="G38" i="22"/>
  <c r="H38" i="22" s="1"/>
  <c r="G37" i="22"/>
  <c r="G36" i="22"/>
  <c r="G35" i="22"/>
  <c r="H35" i="22" s="1"/>
  <c r="G34" i="22"/>
  <c r="G33" i="22"/>
  <c r="H33" i="22" s="1"/>
  <c r="G32" i="22"/>
  <c r="G31" i="22"/>
  <c r="H31" i="22" s="1"/>
  <c r="G30" i="22"/>
  <c r="H30" i="22" s="1"/>
  <c r="M18" i="22" l="1"/>
  <c r="N42" i="22"/>
  <c r="M80" i="22"/>
  <c r="M32" i="22"/>
  <c r="M52" i="22"/>
  <c r="N71" i="22"/>
  <c r="M41" i="22"/>
  <c r="M49" i="22"/>
  <c r="N58" i="22"/>
  <c r="M89" i="22"/>
  <c r="M94" i="22"/>
  <c r="N77" i="22"/>
  <c r="N59" i="22"/>
  <c r="M110" i="22"/>
  <c r="M103" i="22"/>
  <c r="M37" i="22"/>
  <c r="N39" i="22"/>
  <c r="M101" i="22"/>
  <c r="N35" i="22"/>
  <c r="N43" i="22"/>
  <c r="N60" i="22"/>
  <c r="N79" i="22"/>
  <c r="N31" i="22"/>
  <c r="M56" i="22"/>
  <c r="M65" i="22"/>
  <c r="M69" i="22"/>
  <c r="M81" i="22"/>
  <c r="M92" i="22"/>
  <c r="M97" i="22"/>
  <c r="N107" i="22"/>
  <c r="N38" i="22"/>
  <c r="M50" i="22"/>
  <c r="N90" i="22"/>
  <c r="M36" i="22"/>
  <c r="M34" i="22"/>
  <c r="N54" i="22"/>
  <c r="N30" i="22"/>
  <c r="M40" i="22"/>
  <c r="M48" i="22"/>
  <c r="N87" i="22"/>
  <c r="M108" i="22"/>
  <c r="N78" i="22"/>
  <c r="M99" i="22"/>
  <c r="N57" i="22"/>
  <c r="M61" i="22"/>
  <c r="N66" i="22"/>
  <c r="N82" i="22"/>
  <c r="M88" i="22"/>
  <c r="M93" i="22"/>
  <c r="N98" i="22"/>
  <c r="N102" i="22"/>
  <c r="M20" i="22"/>
  <c r="M19" i="22"/>
  <c r="H103" i="22"/>
  <c r="N103" i="22" s="1"/>
  <c r="H101" i="22"/>
  <c r="N101" i="22" s="1"/>
  <c r="M102" i="22"/>
  <c r="H99" i="22"/>
  <c r="N99" i="22" s="1"/>
  <c r="P99" i="22" s="1"/>
  <c r="M100" i="22"/>
  <c r="M79" i="22"/>
  <c r="M78" i="22"/>
  <c r="M77" i="22"/>
  <c r="H45" i="22"/>
  <c r="N45" i="22" s="1"/>
  <c r="M54" i="22"/>
  <c r="P54" i="22" s="1"/>
  <c r="H68" i="22"/>
  <c r="N68" i="22" s="1"/>
  <c r="H49" i="22"/>
  <c r="N49" i="22" s="1"/>
  <c r="M31" i="22"/>
  <c r="M47" i="22"/>
  <c r="M66" i="22"/>
  <c r="H74" i="22"/>
  <c r="N74" i="22" s="1"/>
  <c r="M42" i="22"/>
  <c r="H85" i="22"/>
  <c r="N85" i="22" s="1"/>
  <c r="H96" i="22"/>
  <c r="N96" i="22" s="1"/>
  <c r="H41" i="22"/>
  <c r="N41" i="22" s="1"/>
  <c r="H50" i="22"/>
  <c r="N50" i="22" s="1"/>
  <c r="M58" i="22"/>
  <c r="H61" i="22"/>
  <c r="N61" i="22" s="1"/>
  <c r="P61" i="22" s="1"/>
  <c r="H93" i="22"/>
  <c r="N93" i="22" s="1"/>
  <c r="Q93" i="22" s="1"/>
  <c r="M38" i="22"/>
  <c r="H65" i="22"/>
  <c r="N65" i="22" s="1"/>
  <c r="Q65" i="22" s="1"/>
  <c r="M35" i="22"/>
  <c r="H37" i="22"/>
  <c r="N37" i="22" s="1"/>
  <c r="H46" i="22"/>
  <c r="N46" i="22" s="1"/>
  <c r="H53" i="22"/>
  <c r="N53" i="22" s="1"/>
  <c r="M67" i="22"/>
  <c r="M83" i="22"/>
  <c r="H86" i="22"/>
  <c r="N86" i="22" s="1"/>
  <c r="H69" i="22"/>
  <c r="N69" i="22" s="1"/>
  <c r="P69" i="22" s="1"/>
  <c r="M30" i="22"/>
  <c r="M39" i="22"/>
  <c r="Q39" i="22" s="1"/>
  <c r="M107" i="22"/>
  <c r="H110" i="22"/>
  <c r="N110" i="22" s="1"/>
  <c r="H89" i="22"/>
  <c r="N89" i="22" s="1"/>
  <c r="H81" i="22"/>
  <c r="N81" i="22" s="1"/>
  <c r="H36" i="22"/>
  <c r="N36" i="22" s="1"/>
  <c r="P36" i="22" s="1"/>
  <c r="M91" i="22"/>
  <c r="H94" i="22"/>
  <c r="N94" i="22" s="1"/>
  <c r="Q94" i="22" s="1"/>
  <c r="H108" i="22"/>
  <c r="N108" i="22" s="1"/>
  <c r="M51" i="22"/>
  <c r="H34" i="22"/>
  <c r="N34" i="22" s="1"/>
  <c r="Q34" i="22" s="1"/>
  <c r="H62" i="22"/>
  <c r="N62" i="22" s="1"/>
  <c r="M75" i="22"/>
  <c r="M87" i="22"/>
  <c r="M43" i="22"/>
  <c r="M55" i="22"/>
  <c r="H70" i="22"/>
  <c r="N70" i="22" s="1"/>
  <c r="M95" i="22"/>
  <c r="M59" i="22"/>
  <c r="M63" i="22"/>
  <c r="M71" i="22"/>
  <c r="K110" i="22"/>
  <c r="U110" i="22" s="1"/>
  <c r="K109" i="22"/>
  <c r="M109" i="22" s="1"/>
  <c r="J94" i="22"/>
  <c r="K93" i="22"/>
  <c r="U93" i="22" s="1"/>
  <c r="J86" i="22"/>
  <c r="K85" i="22"/>
  <c r="J70" i="22"/>
  <c r="K69" i="22"/>
  <c r="U69" i="22" s="1"/>
  <c r="J62" i="22"/>
  <c r="K61" i="22"/>
  <c r="U61" i="22" s="1"/>
  <c r="M60" i="22"/>
  <c r="J54" i="22"/>
  <c r="K53" i="22"/>
  <c r="J46" i="22"/>
  <c r="K45" i="22"/>
  <c r="J38" i="22"/>
  <c r="K37" i="22"/>
  <c r="J108" i="22"/>
  <c r="K107" i="22"/>
  <c r="M106" i="22"/>
  <c r="N105" i="22"/>
  <c r="M98" i="22"/>
  <c r="J92" i="22"/>
  <c r="K91" i="22"/>
  <c r="M90" i="22"/>
  <c r="J84" i="22"/>
  <c r="K83" i="22"/>
  <c r="M82" i="22"/>
  <c r="J107" i="22"/>
  <c r="K106" i="22"/>
  <c r="M105" i="22"/>
  <c r="N104" i="22"/>
  <c r="K98" i="22"/>
  <c r="J91" i="22"/>
  <c r="K90" i="22"/>
  <c r="J83" i="22"/>
  <c r="K82" i="22"/>
  <c r="J75" i="22"/>
  <c r="K74" i="22"/>
  <c r="M73" i="22"/>
  <c r="J67" i="22"/>
  <c r="K66" i="22"/>
  <c r="J59" i="22"/>
  <c r="K58" i="22"/>
  <c r="M57" i="22"/>
  <c r="J51" i="22"/>
  <c r="K50" i="22"/>
  <c r="J43" i="22"/>
  <c r="K42" i="22"/>
  <c r="J35" i="22"/>
  <c r="K34" i="22"/>
  <c r="U34" i="22" s="1"/>
  <c r="M33" i="22"/>
  <c r="J106" i="22"/>
  <c r="K105" i="22"/>
  <c r="M104" i="22"/>
  <c r="J98" i="22"/>
  <c r="K97" i="22"/>
  <c r="U97" i="22" s="1"/>
  <c r="J90" i="22"/>
  <c r="K89" i="22"/>
  <c r="J82" i="22"/>
  <c r="K81" i="22"/>
  <c r="J74" i="22"/>
  <c r="K73" i="22"/>
  <c r="J66" i="22"/>
  <c r="K65" i="22"/>
  <c r="U65" i="22" s="1"/>
  <c r="J58" i="22"/>
  <c r="K57" i="22"/>
  <c r="J50" i="22"/>
  <c r="K49" i="22"/>
  <c r="J42" i="22"/>
  <c r="K41" i="22"/>
  <c r="J34" i="22"/>
  <c r="K33" i="22"/>
  <c r="J104" i="22"/>
  <c r="J96" i="22"/>
  <c r="K95" i="22"/>
  <c r="J88" i="22"/>
  <c r="K87" i="22"/>
  <c r="J80" i="22"/>
  <c r="J72" i="22"/>
  <c r="K71" i="22"/>
  <c r="J64" i="22"/>
  <c r="K63" i="22"/>
  <c r="J56" i="22"/>
  <c r="K55" i="22"/>
  <c r="J95" i="22"/>
  <c r="K94" i="22"/>
  <c r="U94" i="22" s="1"/>
  <c r="J87" i="22"/>
  <c r="K86" i="22"/>
  <c r="J71" i="22"/>
  <c r="K70" i="22"/>
  <c r="J63" i="22"/>
  <c r="K62" i="22"/>
  <c r="J55" i="22"/>
  <c r="K54" i="22"/>
  <c r="J47" i="22"/>
  <c r="K46" i="22"/>
  <c r="J39" i="22"/>
  <c r="K38" i="22"/>
  <c r="H32" i="22"/>
  <c r="N32" i="22" s="1"/>
  <c r="H40" i="22"/>
  <c r="N40" i="22" s="1"/>
  <c r="H48" i="22"/>
  <c r="N48" i="22" s="1"/>
  <c r="H56" i="22"/>
  <c r="N56" i="22" s="1"/>
  <c r="H64" i="22"/>
  <c r="N64" i="22" s="1"/>
  <c r="H72" i="22"/>
  <c r="N72" i="22" s="1"/>
  <c r="H80" i="22"/>
  <c r="N80" i="22" s="1"/>
  <c r="H88" i="22"/>
  <c r="N88" i="22" s="1"/>
  <c r="H97" i="22"/>
  <c r="N97" i="22" s="1"/>
  <c r="Q97" i="22" s="1"/>
  <c r="H44" i="22"/>
  <c r="N44" i="22" s="1"/>
  <c r="H52" i="22"/>
  <c r="N52" i="22" s="1"/>
  <c r="H76" i="22"/>
  <c r="N76" i="22" s="1"/>
  <c r="H84" i="22"/>
  <c r="N84" i="22" s="1"/>
  <c r="H92" i="22"/>
  <c r="N92" i="22" s="1"/>
  <c r="Q92" i="22" s="1"/>
  <c r="P38" i="22" l="1"/>
  <c r="Q103" i="22"/>
  <c r="P66" i="22"/>
  <c r="G14" i="22"/>
  <c r="J14" i="22" s="1"/>
  <c r="U37" i="22"/>
  <c r="P52" i="22"/>
  <c r="P50" i="22"/>
  <c r="P31" i="22"/>
  <c r="P108" i="22"/>
  <c r="P103" i="22"/>
  <c r="P88" i="22"/>
  <c r="Q30" i="22"/>
  <c r="U49" i="22"/>
  <c r="U81" i="22"/>
  <c r="P81" i="22"/>
  <c r="M45" i="22"/>
  <c r="U45" i="22" s="1"/>
  <c r="M44" i="22"/>
  <c r="P44" i="22" s="1"/>
  <c r="P32" i="22"/>
  <c r="U89" i="22"/>
  <c r="P89" i="22"/>
  <c r="P49" i="22"/>
  <c r="N91" i="22"/>
  <c r="N95" i="22"/>
  <c r="P95" i="22" s="1"/>
  <c r="M84" i="22"/>
  <c r="P84" i="22" s="1"/>
  <c r="N33" i="22"/>
  <c r="M17" i="22" s="1"/>
  <c r="Q80" i="22"/>
  <c r="Q110" i="22"/>
  <c r="P42" i="22"/>
  <c r="J110" i="22"/>
  <c r="J99" i="22"/>
  <c r="K77" i="22"/>
  <c r="U77" i="22" s="1"/>
  <c r="K30" i="22"/>
  <c r="U30" i="22" s="1"/>
  <c r="K108" i="22"/>
  <c r="U108" i="22" s="1"/>
  <c r="K75" i="22"/>
  <c r="U75" i="22" s="1"/>
  <c r="J52" i="22"/>
  <c r="J48" i="22"/>
  <c r="J44" i="22"/>
  <c r="J40" i="22"/>
  <c r="J36" i="22"/>
  <c r="J32" i="22"/>
  <c r="K101" i="22"/>
  <c r="J31" i="22"/>
  <c r="J97" i="22"/>
  <c r="K92" i="22"/>
  <c r="U92" i="22" s="1"/>
  <c r="J68" i="22"/>
  <c r="J69" i="22"/>
  <c r="J105" i="22"/>
  <c r="J101" i="22"/>
  <c r="J78" i="22"/>
  <c r="K31" i="22"/>
  <c r="U31" i="22" s="1"/>
  <c r="J60" i="22"/>
  <c r="K51" i="22"/>
  <c r="K47" i="22"/>
  <c r="U47" i="22" s="1"/>
  <c r="K43" i="22"/>
  <c r="K39" i="22"/>
  <c r="U39" i="22" s="1"/>
  <c r="K35" i="22"/>
  <c r="U35" i="22" s="1"/>
  <c r="K78" i="22"/>
  <c r="U78" i="22" s="1"/>
  <c r="J85" i="22"/>
  <c r="K80" i="22"/>
  <c r="U80" i="22" s="1"/>
  <c r="J73" i="22"/>
  <c r="K64" i="22"/>
  <c r="K100" i="22"/>
  <c r="U100" i="22" s="1"/>
  <c r="K103" i="22"/>
  <c r="U103" i="22" s="1"/>
  <c r="K96" i="22"/>
  <c r="K68" i="22"/>
  <c r="J100" i="22"/>
  <c r="J79" i="22"/>
  <c r="J89" i="22"/>
  <c r="K84" i="22"/>
  <c r="K76" i="22"/>
  <c r="K72" i="22"/>
  <c r="J53" i="22"/>
  <c r="J49" i="22"/>
  <c r="J45" i="22"/>
  <c r="J41" i="22"/>
  <c r="J37" i="22"/>
  <c r="J33" i="22"/>
  <c r="K102" i="22"/>
  <c r="K79" i="22"/>
  <c r="U79" i="22" s="1"/>
  <c r="J109" i="22"/>
  <c r="K104" i="22"/>
  <c r="U104" i="22" s="1"/>
  <c r="J76" i="22"/>
  <c r="K67" i="22"/>
  <c r="U67" i="22" s="1"/>
  <c r="J102" i="22"/>
  <c r="K99" i="22"/>
  <c r="J77" i="22"/>
  <c r="J30" i="22"/>
  <c r="J93" i="22"/>
  <c r="K88" i="22"/>
  <c r="U88" i="22" s="1"/>
  <c r="J61" i="22"/>
  <c r="J57" i="22"/>
  <c r="K52" i="22"/>
  <c r="U52" i="22" s="1"/>
  <c r="K48" i="22"/>
  <c r="U48" i="22" s="1"/>
  <c r="K44" i="22"/>
  <c r="K40" i="22"/>
  <c r="U40" i="22" s="1"/>
  <c r="K36" i="22"/>
  <c r="U36" i="22" s="1"/>
  <c r="K32" i="22"/>
  <c r="U32" i="22" s="1"/>
  <c r="J81" i="22"/>
  <c r="J65" i="22"/>
  <c r="K60" i="22"/>
  <c r="K56" i="22"/>
  <c r="U56" i="22" s="1"/>
  <c r="J103" i="22"/>
  <c r="K59" i="22"/>
  <c r="U59" i="22" s="1"/>
  <c r="N55" i="22"/>
  <c r="P55" i="22" s="1"/>
  <c r="M68" i="22"/>
  <c r="U68" i="22" s="1"/>
  <c r="M72" i="22"/>
  <c r="P72" i="22" s="1"/>
  <c r="N83" i="22"/>
  <c r="Q83" i="22" s="1"/>
  <c r="M96" i="22"/>
  <c r="P96" i="22" s="1"/>
  <c r="Q107" i="22"/>
  <c r="Q58" i="22"/>
  <c r="M86" i="22"/>
  <c r="P86" i="22" s="1"/>
  <c r="N106" i="22"/>
  <c r="P106" i="22" s="1"/>
  <c r="N47" i="22"/>
  <c r="P47" i="22" s="1"/>
  <c r="N63" i="22"/>
  <c r="P63" i="22" s="1"/>
  <c r="M62" i="22"/>
  <c r="U62" i="22" s="1"/>
  <c r="M76" i="22"/>
  <c r="Q76" i="22" s="1"/>
  <c r="M85" i="22"/>
  <c r="U85" i="22" s="1"/>
  <c r="Q56" i="22"/>
  <c r="U41" i="22"/>
  <c r="U50" i="22"/>
  <c r="M15" i="22"/>
  <c r="P37" i="22"/>
  <c r="Q41" i="22"/>
  <c r="Q102" i="22"/>
  <c r="M70" i="22"/>
  <c r="U70" i="22" s="1"/>
  <c r="N75" i="22"/>
  <c r="P75" i="22" s="1"/>
  <c r="N73" i="22"/>
  <c r="Q73" i="22" s="1"/>
  <c r="M74" i="22"/>
  <c r="U74" i="22" s="1"/>
  <c r="N51" i="22"/>
  <c r="P51" i="22" s="1"/>
  <c r="M64" i="22"/>
  <c r="N100" i="22"/>
  <c r="P100" i="22" s="1"/>
  <c r="M53" i="22"/>
  <c r="P53" i="22" s="1"/>
  <c r="N67" i="22"/>
  <c r="P67" i="22" s="1"/>
  <c r="M46" i="22"/>
  <c r="P46" i="22" s="1"/>
  <c r="Q101" i="22"/>
  <c r="H14" i="22"/>
  <c r="K14" i="22" s="1"/>
  <c r="P101" i="22"/>
  <c r="P102" i="22"/>
  <c r="P58" i="22"/>
  <c r="Q99" i="22"/>
  <c r="U54" i="22"/>
  <c r="U58" i="22"/>
  <c r="Q54" i="22"/>
  <c r="U42" i="22"/>
  <c r="Q42" i="22"/>
  <c r="Q69" i="22"/>
  <c r="P77" i="22"/>
  <c r="Q77" i="22"/>
  <c r="P78" i="22"/>
  <c r="Q78" i="22"/>
  <c r="P79" i="22"/>
  <c r="Q79" i="22"/>
  <c r="P110" i="22"/>
  <c r="Q36" i="22"/>
  <c r="Q49" i="22"/>
  <c r="Q66" i="22"/>
  <c r="U66" i="22"/>
  <c r="Q31" i="22"/>
  <c r="Q53" i="22"/>
  <c r="Q38" i="22"/>
  <c r="Q61" i="22"/>
  <c r="U107" i="22"/>
  <c r="P107" i="22"/>
  <c r="Q88" i="22"/>
  <c r="U83" i="22"/>
  <c r="U91" i="22"/>
  <c r="Q37" i="22"/>
  <c r="Q50" i="22"/>
  <c r="P30" i="22"/>
  <c r="P94" i="22"/>
  <c r="U38" i="22"/>
  <c r="Q52" i="22"/>
  <c r="P56" i="22"/>
  <c r="P41" i="22"/>
  <c r="P39" i="22"/>
  <c r="P65" i="22"/>
  <c r="Q91" i="22"/>
  <c r="P93" i="22"/>
  <c r="P91" i="22"/>
  <c r="P35" i="22"/>
  <c r="Q35" i="22"/>
  <c r="Q40" i="22"/>
  <c r="P40" i="22"/>
  <c r="Q109" i="22"/>
  <c r="U109" i="22"/>
  <c r="P109" i="22"/>
  <c r="P80" i="22"/>
  <c r="P92" i="22"/>
  <c r="Q57" i="22"/>
  <c r="U57" i="22"/>
  <c r="P57" i="22"/>
  <c r="U33" i="22"/>
  <c r="Q33" i="22"/>
  <c r="P33" i="22"/>
  <c r="Q105" i="22"/>
  <c r="U105" i="22"/>
  <c r="P105" i="22"/>
  <c r="P90" i="22"/>
  <c r="U90" i="22"/>
  <c r="Q90" i="22"/>
  <c r="U106" i="22"/>
  <c r="Q108" i="22"/>
  <c r="P43" i="22"/>
  <c r="U43" i="22"/>
  <c r="Q43" i="22"/>
  <c r="Q75" i="22"/>
  <c r="U51" i="22"/>
  <c r="U60" i="22"/>
  <c r="P60" i="22"/>
  <c r="Q60" i="22"/>
  <c r="P71" i="22"/>
  <c r="U71" i="22"/>
  <c r="Q71" i="22"/>
  <c r="Q89" i="22"/>
  <c r="Q81" i="22"/>
  <c r="P97" i="22"/>
  <c r="Q32" i="22"/>
  <c r="Q44" i="22"/>
  <c r="U63" i="22"/>
  <c r="U95" i="22"/>
  <c r="U55" i="22"/>
  <c r="P98" i="22"/>
  <c r="U98" i="22"/>
  <c r="Q98" i="22"/>
  <c r="Q59" i="22"/>
  <c r="P59" i="22"/>
  <c r="Q87" i="22"/>
  <c r="P87" i="22"/>
  <c r="U87" i="22"/>
  <c r="P34" i="22"/>
  <c r="U73" i="22"/>
  <c r="U102" i="22"/>
  <c r="P82" i="22"/>
  <c r="U82" i="22"/>
  <c r="Q82" i="22"/>
  <c r="Q48" i="22"/>
  <c r="P48" i="22"/>
  <c r="P104" i="22"/>
  <c r="Q104" i="22"/>
  <c r="D29" i="18" a="1"/>
  <c r="D29" i="18" s="1"/>
  <c r="S36" i="18"/>
  <c r="S35" i="18"/>
  <c r="S34" i="18"/>
  <c r="S33" i="18"/>
  <c r="S32" i="18"/>
  <c r="R36" i="18"/>
  <c r="R35" i="18"/>
  <c r="R34" i="18"/>
  <c r="R33" i="18"/>
  <c r="R32" i="18"/>
  <c r="W36" i="18"/>
  <c r="W35" i="18"/>
  <c r="W34" i="18"/>
  <c r="W33" i="18"/>
  <c r="W32" i="18"/>
  <c r="O42" i="18"/>
  <c r="G15" i="21"/>
  <c r="G13" i="21"/>
  <c r="G10" i="21"/>
  <c r="G12" i="21"/>
  <c r="G11" i="21"/>
  <c r="D36" i="18" a="1"/>
  <c r="D36" i="18" s="1"/>
  <c r="D35" i="18" a="1"/>
  <c r="D35" i="18" s="1"/>
  <c r="D34" i="18" a="1"/>
  <c r="D34" i="18" s="1"/>
  <c r="D33" i="18" a="1"/>
  <c r="D33" i="18" s="1"/>
  <c r="D32" i="18" a="1"/>
  <c r="D32" i="18" s="1"/>
  <c r="D31" i="18" a="1"/>
  <c r="D31" i="18" s="1"/>
  <c r="O31" i="18" s="1" a="1"/>
  <c r="O31" i="18" s="1"/>
  <c r="W31" i="18" s="1"/>
  <c r="D30" i="18" a="1"/>
  <c r="D30" i="18" s="1"/>
  <c r="D28" i="18" a="1"/>
  <c r="D28" i="18" s="1"/>
  <c r="D27" i="18" a="1"/>
  <c r="D27" i="18" s="1"/>
  <c r="W40" i="21"/>
  <c r="AB10" i="21"/>
  <c r="B17" i="18"/>
  <c r="B14" i="18"/>
  <c r="B16" i="18"/>
  <c r="B15" i="18"/>
  <c r="B13" i="18"/>
  <c r="A31" i="18" a="1"/>
  <c r="A36" i="18" a="1"/>
  <c r="A34" i="18" a="1"/>
  <c r="A33" i="18" a="1"/>
  <c r="A28" i="18" a="1"/>
  <c r="A27" i="18" a="1"/>
  <c r="A35" i="18" a="1"/>
  <c r="A29" i="18" a="1"/>
  <c r="A30" i="18" a="1"/>
  <c r="A32" i="18" a="1"/>
  <c r="O30" i="18" l="1" a="1"/>
  <c r="O30" i="18" s="1"/>
  <c r="W30" i="18" s="1"/>
  <c r="Q30" i="18"/>
  <c r="P76" i="22"/>
  <c r="P45" i="22"/>
  <c r="U64" i="22"/>
  <c r="Q95" i="22"/>
  <c r="Q47" i="22"/>
  <c r="P73" i="22"/>
  <c r="Q106" i="22"/>
  <c r="Q45" i="22"/>
  <c r="Q84" i="22"/>
  <c r="Q96" i="22"/>
  <c r="W27" i="18"/>
  <c r="P74" i="22"/>
  <c r="W28" i="18"/>
  <c r="Q67" i="22"/>
  <c r="Q70" i="22"/>
  <c r="Q85" i="22"/>
  <c r="N21" i="22"/>
  <c r="J21" i="22"/>
  <c r="K21" i="22"/>
  <c r="O29" i="18" a="1"/>
  <c r="O29" i="18" s="1"/>
  <c r="W29" i="18" s="1"/>
  <c r="M16" i="22"/>
  <c r="Q72" i="22"/>
  <c r="Q100" i="22"/>
  <c r="Q68" i="22"/>
  <c r="P83" i="22"/>
  <c r="U86" i="22"/>
  <c r="P70" i="22"/>
  <c r="Q86" i="22"/>
  <c r="Q46" i="22"/>
  <c r="U46" i="22"/>
  <c r="P85" i="22"/>
  <c r="Q51" i="22"/>
  <c r="M14" i="22"/>
  <c r="P62" i="22"/>
  <c r="Q63" i="22"/>
  <c r="U96" i="22"/>
  <c r="U84" i="22"/>
  <c r="Q55" i="22"/>
  <c r="Q74" i="22"/>
  <c r="Q62" i="22"/>
  <c r="Q64" i="22"/>
  <c r="P68" i="22"/>
  <c r="U53" i="22"/>
  <c r="U72" i="22"/>
  <c r="U44" i="22"/>
  <c r="P64" i="22"/>
  <c r="U76" i="22"/>
  <c r="O40" i="18"/>
  <c r="O38" i="18"/>
  <c r="O39" i="18"/>
  <c r="A31" i="18"/>
  <c r="A35" i="18"/>
  <c r="A34" i="18"/>
  <c r="A30" i="18"/>
  <c r="A33" i="18"/>
  <c r="A29" i="18"/>
  <c r="A36" i="18"/>
  <c r="A32" i="18"/>
  <c r="A28" i="18"/>
  <c r="A27" i="18"/>
  <c r="M21" i="22" l="1"/>
  <c r="N27" i="18" a="1"/>
  <c r="N27" i="18" s="1"/>
  <c r="C18" i="18"/>
  <c r="C21" i="18"/>
  <c r="X34" i="18"/>
  <c r="X35" i="18"/>
  <c r="X32" i="18"/>
  <c r="X36" i="18"/>
  <c r="T36" i="18" s="1"/>
  <c r="X33" i="18"/>
  <c r="T33" i="18" s="1"/>
  <c r="C19" i="18"/>
  <c r="X30" i="18" l="1"/>
  <c r="S30" i="18" s="1"/>
  <c r="X31" i="18"/>
  <c r="X29" i="18"/>
  <c r="R29" i="18" s="1"/>
  <c r="X27" i="18"/>
  <c r="X28" i="18"/>
  <c r="S28" i="18" s="1"/>
  <c r="T32" i="18"/>
  <c r="C20" i="18"/>
  <c r="T35" i="18"/>
  <c r="T34" i="18"/>
  <c r="Q29" i="18" l="1"/>
  <c r="Q38" i="18" s="1"/>
  <c r="S27" i="18"/>
  <c r="R31" i="18"/>
  <c r="S31" i="18"/>
  <c r="T30" i="18"/>
  <c r="T31" i="18"/>
  <c r="Q31" i="18"/>
  <c r="R30" i="18"/>
  <c r="W40" i="18"/>
  <c r="W42" i="18"/>
  <c r="T29" i="18"/>
  <c r="X40" i="18"/>
  <c r="X42" i="18"/>
  <c r="N42" i="18" s="1"/>
  <c r="R28" i="18"/>
  <c r="Q28" i="18"/>
  <c r="X39" i="18"/>
  <c r="N39" i="18" s="1"/>
  <c r="T28" i="18"/>
  <c r="W39" i="18"/>
  <c r="S29" i="18"/>
  <c r="S38" i="18" s="1"/>
  <c r="R27" i="18"/>
  <c r="R38" i="18" s="1"/>
  <c r="W38" i="18"/>
  <c r="X38" i="18"/>
  <c r="N38" i="18" s="1"/>
  <c r="T27" i="18"/>
  <c r="T38" i="18" l="1"/>
  <c r="L38" i="18" s="1"/>
  <c r="Q39" i="18"/>
  <c r="Q40" i="18" s="1"/>
  <c r="Q42" i="18" s="1"/>
  <c r="S39" i="18"/>
  <c r="S40" i="18" s="1"/>
  <c r="S42" i="18" s="1"/>
  <c r="R39" i="18"/>
  <c r="R40" i="18" s="1"/>
  <c r="R42" i="18" s="1"/>
  <c r="N40" i="18"/>
  <c r="M38" i="18" l="1"/>
  <c r="H11" i="24"/>
  <c r="T39" i="18"/>
  <c r="M23" i="11"/>
  <c r="M27" i="11" s="1"/>
  <c r="L39" i="18" l="1"/>
  <c r="M39" i="18" s="1"/>
  <c r="H13" i="24"/>
  <c r="T40" i="18"/>
  <c r="H15" i="24" s="1"/>
  <c r="L40" i="18" l="1"/>
  <c r="L42" i="18" s="1"/>
  <c r="T42" i="18"/>
  <c r="M42" i="18" l="1"/>
  <c r="H17" i="24" s="1"/>
  <c r="G17" i="24"/>
  <c r="M40" i="18"/>
</calcChain>
</file>

<file path=xl/metadata.xml><?xml version="1.0" encoding="utf-8"?>
<metadata xmlns="http://purl.oclc.org/ooxml/spreadsheetml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<sst xmlns="http://purl.oclc.org/ooxml/spreadsheetml/main" count="455" uniqueCount="332">
  <si>
    <t>Step 1.</t>
  </si>
  <si>
    <t xml:space="preserve">Step 4. </t>
  </si>
  <si>
    <t>A</t>
  </si>
  <si>
    <t xml:space="preserve">Step 3. </t>
  </si>
  <si>
    <t>UOM</t>
  </si>
  <si>
    <t>IP = 1, SI = 2</t>
  </si>
  <si>
    <t>CONCATENATE</t>
  </si>
  <si>
    <t>Note: This calculator is for use with Excel for Mac 2011 and Excel 2007 or later.</t>
  </si>
  <si>
    <t>Unit of measurement</t>
  </si>
  <si>
    <t>Note: This selection must match the unit of measurement chosen during project registration.</t>
  </si>
  <si>
    <t>U.S. Green Building Council</t>
  </si>
  <si>
    <t>All Rights Reserved</t>
  </si>
  <si>
    <r>
      <rPr>
        <b/>
        <sz val="16"/>
        <rFont val="Arial"/>
        <family val="2"/>
      </rPr>
      <t xml:space="preserve">Renewable Energy Calculator
</t>
    </r>
    <r>
      <rPr>
        <sz val="9"/>
        <rFont val="Arial"/>
        <family val="2"/>
      </rPr>
      <t>LEED v4.1 EA Credit Renewable Energy</t>
    </r>
  </si>
  <si>
    <t>Complete the Renewable Energy tab.</t>
  </si>
  <si>
    <r>
      <t xml:space="preserve">Copyright </t>
    </r>
    <r>
      <rPr>
        <sz val="9"/>
        <color theme="0" tint="-0.499984740745262"/>
        <rFont val="Arial"/>
        <family val="2"/>
      </rPr>
      <t>©</t>
    </r>
    <r>
      <rPr>
        <sz val="8"/>
        <color theme="0" tint="-0.499984740745262"/>
        <rFont val="Arial"/>
        <family val="2"/>
      </rPr>
      <t xml:space="preserve"> 2022</t>
    </r>
  </si>
  <si>
    <t>Renewable Energy</t>
  </si>
  <si>
    <t>Renewable Location</t>
  </si>
  <si>
    <t>Renewable Generator Location</t>
  </si>
  <si>
    <t>Procurement Type</t>
  </si>
  <si>
    <t>Owned</t>
  </si>
  <si>
    <t>Leased</t>
  </si>
  <si>
    <t>Feed-in Tariff</t>
  </si>
  <si>
    <t>Other - Describe</t>
  </si>
  <si>
    <t>Unbundled: Green-e EACs</t>
  </si>
  <si>
    <t>Utility 100% Green Power Tariff</t>
  </si>
  <si>
    <t>Photovoltaic</t>
  </si>
  <si>
    <t>Wind</t>
  </si>
  <si>
    <t>Tier 1</t>
  </si>
  <si>
    <t>Tier 2</t>
  </si>
  <si>
    <t>Tier 3</t>
  </si>
  <si>
    <t>x</t>
  </si>
  <si>
    <t>Low-impact hydropower*</t>
  </si>
  <si>
    <t>Electricity</t>
  </si>
  <si>
    <t>Solar thermal</t>
  </si>
  <si>
    <t>Ocean-based (wave/tidal)*</t>
  </si>
  <si>
    <t>Off-site renewable electricity produced by generation asset(s) built within the last 5 years or contracted to be operational within 2 years of building occupancy</t>
  </si>
  <si>
    <t>Off-site renewable electricity that is Green-e Energy certified or equivalent or captured bio-methane</t>
  </si>
  <si>
    <t>On-site renewable generation, environmental attributes (e.g. RECs) retained</t>
  </si>
  <si>
    <t>Energy Generation Type</t>
  </si>
  <si>
    <t>Thermal</t>
  </si>
  <si>
    <t>Offset Energy type</t>
  </si>
  <si>
    <t>District Cooling</t>
  </si>
  <si>
    <t>District Heating</t>
  </si>
  <si>
    <t>Natural Gas</t>
  </si>
  <si>
    <t>Fossil Fuel</t>
  </si>
  <si>
    <t>Other</t>
  </si>
  <si>
    <t>Proposed Site Energy</t>
  </si>
  <si>
    <t>(per energy source)</t>
  </si>
  <si>
    <t>Units</t>
  </si>
  <si>
    <t>Total</t>
  </si>
  <si>
    <t>Energy Consumption Units</t>
  </si>
  <si>
    <t>kWh</t>
  </si>
  <si>
    <t>MWh</t>
  </si>
  <si>
    <t>kBtu</t>
  </si>
  <si>
    <t>therm</t>
  </si>
  <si>
    <t>convert to kWh</t>
  </si>
  <si>
    <t>Btu x 10^6</t>
  </si>
  <si>
    <t>MJ</t>
  </si>
  <si>
    <t>Ton Hours</t>
  </si>
  <si>
    <t>Total Electricity + District Energy</t>
  </si>
  <si>
    <t>Total Fossil Fuel + Other</t>
  </si>
  <si>
    <t>Energy Type</t>
  </si>
  <si>
    <t>On-site agricultural crops or waste - electric</t>
  </si>
  <si>
    <t>On-site animal or organic waste - electric</t>
  </si>
  <si>
    <t>On-site landfill gas - electric</t>
  </si>
  <si>
    <t>Geothermal heating (not geoexchange)</t>
  </si>
  <si>
    <t>Geothermal electric</t>
  </si>
  <si>
    <t>Generation Type</t>
  </si>
  <si>
    <t>On-site untreated wood waste - thermal*</t>
  </si>
  <si>
    <t>On-site agricultural crops or waste - thermal*</t>
  </si>
  <si>
    <t>On-site animal or organic waste - thermal*</t>
  </si>
  <si>
    <t>On-site landfill gas - thermal*</t>
  </si>
  <si>
    <t>On-site untreated wood waste - electric</t>
  </si>
  <si>
    <t>Tier 1 On-site renewable sources</t>
  </si>
  <si>
    <t>Tier 2 Renewable Electricity Generation Sources</t>
  </si>
  <si>
    <t>Other - Decribe*</t>
  </si>
  <si>
    <t>Tier 3 Renewable Generation Sources</t>
  </si>
  <si>
    <t>Solar thermal electricity</t>
  </si>
  <si>
    <t>Geothermal electricity*</t>
  </si>
  <si>
    <t>Biofuel electricity*</t>
  </si>
  <si>
    <t>Recovered bio-methane*</t>
  </si>
  <si>
    <t>Renewable Energy Category</t>
  </si>
  <si>
    <t>LEED Renewable Category</t>
  </si>
  <si>
    <t>Tier 1. On-site renewable energy</t>
  </si>
  <si>
    <t>Tier 2. New Off-site renewable electricity</t>
  </si>
  <si>
    <t>Tier 3. Off-site renewable energy</t>
  </si>
  <si>
    <t>Renewable Energy Type</t>
  </si>
  <si>
    <t>Renewable Energy Procurement Type</t>
  </si>
  <si>
    <t>Length of Contract (Years)</t>
  </si>
  <si>
    <t>One-time purchase</t>
  </si>
  <si>
    <t>more than 10</t>
  </si>
  <si>
    <t>N/A (owned)</t>
  </si>
  <si>
    <r>
      <t xml:space="preserve">Annual Renewable Generation
</t>
    </r>
    <r>
      <rPr>
        <i/>
        <sz val="10"/>
        <color rgb="FF000000"/>
        <rFont val="Arial"/>
        <family val="2"/>
      </rPr>
      <t>(for a one-time purchase enter total purchase amount)</t>
    </r>
  </si>
  <si>
    <t>Annual Renewable Generation (Site Energy)</t>
  </si>
  <si>
    <t>Qualifying Annual Renewable Generation with EACs retained</t>
  </si>
  <si>
    <t>Length of Contract
(Years)</t>
  </si>
  <si>
    <t>Units of Energy</t>
  </si>
  <si>
    <t>Green-e certified electricity mix</t>
  </si>
  <si>
    <t>All Renewabe Sources</t>
  </si>
  <si>
    <t>Other-Describe</t>
  </si>
  <si>
    <t>Unbundled: Green-e equivalent EACs*</t>
  </si>
  <si>
    <t>Virtual Power Purchase Agreement (VPPA)</t>
  </si>
  <si>
    <t>Power Purchase Agreement (PPA)</t>
  </si>
  <si>
    <t>Generator
"New Date" 
(or date contracted / designed to come online)</t>
  </si>
  <si>
    <t>Default Electricity</t>
  </si>
  <si>
    <t>Default Fossil Fuel</t>
  </si>
  <si>
    <t>Default District Heating</t>
  </si>
  <si>
    <t>Default District Cooling</t>
  </si>
  <si>
    <t>Default Total</t>
  </si>
  <si>
    <t>Total Tier 1: On-site renewable energy</t>
  </si>
  <si>
    <t>Total Tier 2. New Off-site renewable electricity</t>
  </si>
  <si>
    <t>Total Tier 3. Off-site renewable</t>
  </si>
  <si>
    <t>Energy Offset Type</t>
  </si>
  <si>
    <t>Annual Renewable Percent of Site Energy</t>
  </si>
  <si>
    <t>Total District Energy</t>
  </si>
  <si>
    <t>Percent of Electricity</t>
  </si>
  <si>
    <t>Percent of District Energy</t>
  </si>
  <si>
    <t>Percent of Fossil Fuel + Other</t>
  </si>
  <si>
    <t>No</t>
  </si>
  <si>
    <t>kWh - Qualifying Annual</t>
  </si>
  <si>
    <t>kWh - Annual with RECs retained</t>
  </si>
  <si>
    <t>Qualifying Percent of Total Annual Site Energy</t>
  </si>
  <si>
    <t xml:space="preserve">  Notes:</t>
  </si>
  <si>
    <t xml:space="preserve">  All environmental attributes associated with renewable energy generation must be retired on behalf of the LEED project in order for the renewable energy procurement to contribute to credit achievement.</t>
  </si>
  <si>
    <t xml:space="preserve">  Tier 1. On-site renewable energy</t>
  </si>
  <si>
    <t xml:space="preserve">  Tier 2. New Off-site renewable electricity</t>
  </si>
  <si>
    <t>Quantity of annual renewable attributes used to satisfy Renewable Portfolio Standard (RPS) / mandatory renewable capacity policies. (0 if N/A)</t>
  </si>
  <si>
    <t>On site</t>
  </si>
  <si>
    <t>On campus</t>
  </si>
  <si>
    <t>Same geographical region</t>
  </si>
  <si>
    <t>same country</t>
  </si>
  <si>
    <t>RENEWABLE ENERGY GENERATION:</t>
  </si>
  <si>
    <t xml:space="preserve">      where Contract Length is capped at ten years, and is considered to be one year for the portion of annual renewable generation that is NOT Green-e certified or equivalent AND exceeds annual electricity use.</t>
  </si>
  <si>
    <t xml:space="preserve">  c. If the project shares on-site renewable sources with other buildings on a campus, and/or is located outside of the project boundary on a contiguous campus sharing ownership with the project owner, </t>
  </si>
  <si>
    <t xml:space="preserve">     upload signed confirmation from the building owner or owner's representative demonstrating the dedicated allocation to the project building.</t>
  </si>
  <si>
    <t xml:space="preserve">  b. All renewable combustion sources (agricultural crops, bio-fuel, landfill gas, etc.) must be both captured (harvested) and used on-site to qualify as a Tier 1 renewable energy source.</t>
  </si>
  <si>
    <t xml:space="preserve">  a.  If one-time purchase and delivery of EACs exceeds 100% of the project’s annual electricity use, Green-e certification or equivalent is required.</t>
  </si>
  <si>
    <t xml:space="preserve">  b. Age of the generation asset(s) is assessed at the beginning of the contract, and the generation asset(s) retain these attributes for the duration of the contract or lease term.</t>
  </si>
  <si>
    <t xml:space="preserve">  c. Qualifying annual renewable generation is calculated as [Annual Renewable Generation - Quantity of annual renewable attributes used to satisfy RPS] * 10 years / [Contract Length]</t>
  </si>
  <si>
    <t xml:space="preserve">Step 2. </t>
  </si>
  <si>
    <t xml:space="preserve">       - Renewable resources are from projects that have come online within the last fifteen years
</t>
  </si>
  <si>
    <t xml:space="preserve">       - Verifiable chain of custody</t>
  </si>
  <si>
    <t xml:space="preserve">      - Mechanism to prevent double-counting</t>
  </si>
  <si>
    <t xml:space="preserve">  Green-e equivalency (Tier 3 procurement, and Tier 2 procurement exceeding 100% of annual electricity + district energy)</t>
  </si>
  <si>
    <t xml:space="preserve">  Projects not using Green-e certified products must demonstrate the alternative’s equivalency to the quality standards established by USGBC. The EACs retired on </t>
  </si>
  <si>
    <t xml:space="preserve">  behalf of the LEED project must be certified under an eco-label developed by an independent organization with transparent accounting process</t>
  </si>
  <si>
    <t xml:space="preserve">  Tier 2 and Tier 3: Off-site renewable energy</t>
  </si>
  <si>
    <t xml:space="preserve">  Off-site renewable energy must be generated by renewable electricity projects located in the same country or geographical region where the LEED project is located.</t>
  </si>
  <si>
    <t xml:space="preserve">  d. Tier 2 new off-site renewable electricity may only be applied to project electricity use or district energy use. Therefore, percent of annual electricity and percent of District Energy are limited to 100%, </t>
  </si>
  <si>
    <t xml:space="preserve">      and qualifying percent of total annual site energy will always be less than 100% if project site energy use includes Fossil Fuel or Other.</t>
  </si>
  <si>
    <t xml:space="preserve">If the project has an energy model for EAp Minimum Energy Performance, enter the total proposed annual site energy consumption per energy type (with exceptional calculation method) </t>
  </si>
  <si>
    <t>from the LEED v4.1 Minimum Energy Performance Calculator (MEPC) Table 12.10.</t>
  </si>
  <si>
    <t>Buildings with non-electric sources serving project (e.g. heating, water heating, and/or cooking)</t>
  </si>
  <si>
    <t>All-Electric Buildings</t>
  </si>
  <si>
    <t>IP Units</t>
  </si>
  <si>
    <t>SI Units</t>
  </si>
  <si>
    <t>Source EUI (kBtu/ft2)</t>
  </si>
  <si>
    <t>Site EUI (kBtu/ft2)</t>
  </si>
  <si>
    <t>Electricity (kBtu/ft2)</t>
  </si>
  <si>
    <t>Natural Gas (kBtu/ft2)</t>
  </si>
  <si>
    <t>Source EUI (kWh/m2)</t>
  </si>
  <si>
    <t>Site EUI (kWh/m2)</t>
  </si>
  <si>
    <t>Electricity (kWh/m2)</t>
  </si>
  <si>
    <t>Natural Gas (kWh/m2)</t>
  </si>
  <si>
    <t>Site Energy - Electricity (kWh/ft2)</t>
  </si>
  <si>
    <t>% Electricity</t>
  </si>
  <si>
    <t>Banking Financial Services</t>
  </si>
  <si>
    <t>Bank Branch</t>
  </si>
  <si>
    <t>Financial Office</t>
  </si>
  <si>
    <t>Education</t>
  </si>
  <si>
    <t>Adult Education</t>
  </si>
  <si>
    <t>K-12 School</t>
  </si>
  <si>
    <t>Vocational School</t>
  </si>
  <si>
    <t>Other - Education</t>
  </si>
  <si>
    <t>Entertainment / Public Assembly</t>
  </si>
  <si>
    <t>Convention Center</t>
  </si>
  <si>
    <t>Movie Theater</t>
  </si>
  <si>
    <t>Museum</t>
  </si>
  <si>
    <t>Performing Arts</t>
  </si>
  <si>
    <t>Stadium</t>
  </si>
  <si>
    <t>Recreation - Entertainment</t>
  </si>
  <si>
    <t>Bowling Alley</t>
  </si>
  <si>
    <t>Roller Rink</t>
  </si>
  <si>
    <t>Swimming Pool</t>
  </si>
  <si>
    <t>Other-Recreation</t>
  </si>
  <si>
    <t>Food Sales and Service</t>
  </si>
  <si>
    <t>Convenience Store</t>
  </si>
  <si>
    <t>Fast Food Restaurant</t>
  </si>
  <si>
    <t>Restaurant</t>
  </si>
  <si>
    <t>Other - Food Sales</t>
  </si>
  <si>
    <t>Other - Food Service</t>
  </si>
  <si>
    <t>Healthcare</t>
  </si>
  <si>
    <t>Ambulatory Surgical Center</t>
  </si>
  <si>
    <t>Medical Office</t>
  </si>
  <si>
    <t>Residential Care Facility</t>
  </si>
  <si>
    <t>Senior Care Community</t>
  </si>
  <si>
    <t>Lodging/Residential</t>
  </si>
  <si>
    <t>Barracks</t>
  </si>
  <si>
    <t>Hotel</t>
  </si>
  <si>
    <t>Multifamily Housing</t>
  </si>
  <si>
    <t>Office</t>
  </si>
  <si>
    <t>Veterinary Office</t>
  </si>
  <si>
    <t>Public Services</t>
  </si>
  <si>
    <t>Courthouse</t>
  </si>
  <si>
    <t>Fire Station</t>
  </si>
  <si>
    <t>Library</t>
  </si>
  <si>
    <t>Police Station</t>
  </si>
  <si>
    <t>Other - Public Services</t>
  </si>
  <si>
    <t>Religious Worship</t>
  </si>
  <si>
    <t>Worship Facility</t>
  </si>
  <si>
    <t>Retail</t>
  </si>
  <si>
    <t>Automotive Dealership</t>
  </si>
  <si>
    <t>Enclosed Mall</t>
  </si>
  <si>
    <t>Mall - Lifestyle Center</t>
  </si>
  <si>
    <t>Strip Mall</t>
  </si>
  <si>
    <t>Other - Mall</t>
  </si>
  <si>
    <t>Retail Store</t>
  </si>
  <si>
    <t>Technology / Science</t>
  </si>
  <si>
    <t>Laboratory</t>
  </si>
  <si>
    <t>Other - Technology Science</t>
  </si>
  <si>
    <t>Services</t>
  </si>
  <si>
    <t>Other-Services</t>
  </si>
  <si>
    <t>Utility</t>
  </si>
  <si>
    <t>Other - Utility</t>
  </si>
  <si>
    <t>Warehouse/Storate</t>
  </si>
  <si>
    <t>Self-storage Facility</t>
  </si>
  <si>
    <t>Non-refrigerated Warehouse</t>
  </si>
  <si>
    <t>Refrigerated Warehouse</t>
  </si>
  <si>
    <t>Source-to-Site Ratios</t>
  </si>
  <si>
    <t>Electricity (Grid Purchase)</t>
  </si>
  <si>
    <t>Electricity - On-site Wind or Solar</t>
  </si>
  <si>
    <t>ft2 to m2</t>
  </si>
  <si>
    <t>kBtu to kWh</t>
  </si>
  <si>
    <t>kbtu/ft2 to kWh/m2</t>
  </si>
  <si>
    <t xml:space="preserve">ENERGY STAR PortfolioManager Technical Reference - U.S. Energy Use Intensity by Property Type </t>
  </si>
  <si>
    <t>Electricity and natural gas were calculated based on total source energy and total site energy reported in the ENERGY STAR Portfolio Manager Technical Reference, and source-to-site ratios of 2.80 for electricity and 1.05 for natural gas.</t>
  </si>
  <si>
    <t>SITE ENERGY DETERMINATION FOR BUILDINGS WITHOUT ENERGY MODELS</t>
  </si>
  <si>
    <t>Area</t>
  </si>
  <si>
    <t xml:space="preserve">     Is the building all-electric (no combustion sources for heating, water heating, cooking, etc. in the project space and base building)?</t>
  </si>
  <si>
    <t>Site Energy Use Intensity</t>
  </si>
  <si>
    <t>Annual Site Energy Use</t>
  </si>
  <si>
    <t>Other - Entertainment</t>
  </si>
  <si>
    <t>Source for Total Source EUI and Site EUI (with non-electric sources): https://portfoliomanager.energystar.gov/pdf/reference/US%20National%20Median%20Table.pdf</t>
  </si>
  <si>
    <t>Hospital_General Medical Surgical</t>
  </si>
  <si>
    <t>Hospital_Other_Specialty</t>
  </si>
  <si>
    <t>Personal Services_Health_Beauty_Dry Cleaning</t>
  </si>
  <si>
    <t>Repair Services_Vehicle, Shoe, Locksmith, etc.</t>
  </si>
  <si>
    <t>College_University</t>
  </si>
  <si>
    <t>Pre-school _ Daycare</t>
  </si>
  <si>
    <t>Social_Meeting Hall</t>
  </si>
  <si>
    <t>Bar_Nightclub</t>
  </si>
  <si>
    <t>Ice _ Curling Rink</t>
  </si>
  <si>
    <t>Other - Restaurant _ Bar</t>
  </si>
  <si>
    <t>Supermarket_Grocery Store</t>
  </si>
  <si>
    <t>Wholesale Club _ Supercenter</t>
  </si>
  <si>
    <t>Outpatient Rehabilitation_Physical Therapy</t>
  </si>
  <si>
    <t>Urgent Care _ Clinic _ Other Outpatient</t>
  </si>
  <si>
    <t>Prison_Incarceration</t>
  </si>
  <si>
    <t>Residence Hall_Dormitory</t>
  </si>
  <si>
    <t>Other - Lodging _ Residential</t>
  </si>
  <si>
    <t>Mailing Center _ Post Office</t>
  </si>
  <si>
    <t>Prison _ Incarceration</t>
  </si>
  <si>
    <t>Transportation Terminal  _ Station</t>
  </si>
  <si>
    <t>Energy_Power Station</t>
  </si>
  <si>
    <t>Warehouse _ Distribution Center</t>
  </si>
  <si>
    <t>Total:</t>
  </si>
  <si>
    <t xml:space="preserve">If an energy model was not completed for EAp Minimum Energy Performance, </t>
  </si>
  <si>
    <t>complete the Site_Energy_No_Model tab.</t>
  </si>
  <si>
    <t>If the project has no energy model, complete the "Site_Energy_No_Model" tab, and then select "Default_Electricity_No_Model" and "Default_Fuel_No_Model" below.</t>
  </si>
  <si>
    <t xml:space="preserve">  Tier 3. Off-site renewable electricity</t>
  </si>
  <si>
    <t xml:space="preserve">       - Eligible renewable energy source (see below)</t>
  </si>
  <si>
    <t xml:space="preserve">      and qualifying percent of total annual site energy will be less than 100% if project site energy use includes Fossil Fuel or Other, and Tier 3 recovered bio-methane is not procured.</t>
  </si>
  <si>
    <t xml:space="preserve">     renew the renewable contract or engage in an alternate renewable energy contract for a total of ten years.</t>
  </si>
  <si>
    <t xml:space="preserve">       “captured bio-methane”. Captured bio-methane may only be applied to project fossil fuel, other, or district energy use. Therefore, percent of  fossil fuel use is limited to 100%, and qualifying percent</t>
  </si>
  <si>
    <t xml:space="preserve">        of total annual site energy will be less than 100% if renewable electricity is not procured.</t>
  </si>
  <si>
    <t xml:space="preserve">  b. Qualifying annual renewable generation is calculated as [Annual Renewable Generation - Quantity of annual renewable attributes used to satisfy RPS] * 10 years / [Contract Length]</t>
  </si>
  <si>
    <t xml:space="preserve">      where Contract Length is capped at ten years.</t>
  </si>
  <si>
    <t xml:space="preserve">  d. Tier 3 off-site renewable electricity may only be applied to project electricity use or district energy use. Therefore, percent of annual electricity and percent of District Energy are limited to 100%, </t>
  </si>
  <si>
    <t xml:space="preserve">  Eligible Renewable Electricity Sources</t>
  </si>
  <si>
    <t xml:space="preserve">  (https://www.green-e.org/docs/energy/framework/Green-e%20Framework%20for%20Renewable%20Energy%20Certification.pdf)</t>
  </si>
  <si>
    <r>
      <t xml:space="preserve">   </t>
    </r>
    <r>
      <rPr>
        <sz val="10"/>
        <color theme="1"/>
        <rFont val="Arial"/>
        <family val="2"/>
      </rPr>
      <t>1. Solar, including photovoltaic and solar thermal electric</t>
    </r>
  </si>
  <si>
    <r>
      <t xml:space="preserve">   </t>
    </r>
    <r>
      <rPr>
        <sz val="10"/>
        <color theme="1"/>
        <rFont val="Arial"/>
        <family val="2"/>
      </rPr>
      <t>2. Wind</t>
    </r>
  </si>
  <si>
    <r>
      <t xml:space="preserve">   </t>
    </r>
    <r>
      <rPr>
        <sz val="10"/>
        <color theme="1"/>
        <rFont val="Arial"/>
        <family val="2"/>
      </rPr>
      <t>4. Ocean-based energy captured through tial, wave, or ocean thermal energy conversion technologies (where located in an area with permitting processes specific to that resource)</t>
    </r>
  </si>
  <si>
    <r>
      <t xml:space="preserve">   </t>
    </r>
    <r>
      <rPr>
        <sz val="10"/>
        <color theme="1"/>
        <rFont val="Arial"/>
        <family val="2"/>
      </rPr>
      <t>5. Limited Hydropower</t>
    </r>
    <r>
      <rPr>
        <b/>
        <sz val="10"/>
        <color theme="1"/>
        <rFont val="Arial"/>
        <family val="2"/>
      </rPr>
      <t>:</t>
    </r>
  </si>
  <si>
    <r>
      <t xml:space="preserve">       - </t>
    </r>
    <r>
      <rPr>
        <sz val="10"/>
        <color theme="1"/>
        <rFont val="Arial"/>
        <family val="2"/>
      </rPr>
      <t>Not on an impoundment</t>
    </r>
  </si>
  <si>
    <r>
      <t xml:space="preserve">       - </t>
    </r>
    <r>
      <rPr>
        <sz val="10"/>
        <color theme="1"/>
        <rFont val="Arial"/>
        <family val="2"/>
      </rPr>
      <t xml:space="preserve">a turbine in a pipeline, irrigation canal, or other conduit used to create flow of water/hydrostatic pressure primarily for non-energy purposes such as transporting potable water, irrigation, </t>
    </r>
  </si>
  <si>
    <t xml:space="preserve">         or waste transport, not for creating energy storage</t>
  </si>
  <si>
    <r>
      <t xml:space="preserve">       - </t>
    </r>
    <r>
      <rPr>
        <sz val="10"/>
        <color theme="1"/>
        <rFont val="Arial"/>
        <family val="2"/>
      </rPr>
      <t xml:space="preserve">Note that Incremental capacity added to an impoundment that existed before the applicable New Date requires independent review for Green-e certification, and is typically NOT deemed a qualifying source. </t>
    </r>
  </si>
  <si>
    <r>
      <t xml:space="preserve">  </t>
    </r>
    <r>
      <rPr>
        <sz val="10"/>
        <color theme="1"/>
        <rFont val="Arial"/>
        <family val="2"/>
      </rPr>
      <t>Per the Green-e Framework for Renewable Energy Certification (Version 1.0), IIIA , eligible resource types are defined as:</t>
    </r>
  </si>
  <si>
    <t xml:space="preserve">   6. Electric generation from Solid, liquid, and gaseous forms of biomass shall NOT be deemed a qualifying source unless Green-e certified. Project-specific CIRs will be considered as exceptions if </t>
  </si>
  <si>
    <t xml:space="preserve">       the renewable energy is labeled by an eco-label, and Green-e criteria IIIA(6)a-g and (7) are documented as applicable.</t>
  </si>
  <si>
    <t xml:space="preserve">          Project-specific CIRs will be considered as exceptions if the hydropower is labeled by an eco-label and Green-e criteria above are documented.</t>
  </si>
  <si>
    <t xml:space="preserve">  c. For Tier 3 utility green tariff programs where a ten-year contract is not available, contract length may be entered as "10" if documentation is uploaded demonstrating that the project has an executed contract</t>
  </si>
  <si>
    <t xml:space="preserve">      for the maximum contract length available (with a minimum of one year), and a letter of commitment signed by a representative of the building owner is uploaded affirming that the project will continue to </t>
  </si>
  <si>
    <t>Select all building types present in the project, and enter the associated gross area per building type.</t>
  </si>
  <si>
    <t>Contract execution date</t>
  </si>
  <si>
    <t>Green-e Certified (or equivalent eco-label)?</t>
  </si>
  <si>
    <t>DD-Month-YY</t>
  </si>
  <si>
    <t>Site Energy - Electricity (kWh/m2)</t>
  </si>
  <si>
    <t xml:space="preserve">  and standards in place which address the following:</t>
  </si>
  <si>
    <t xml:space="preserve">  e. To document credit for GHG Emissions reductions associated with Tier 2 Renewable Resources, EAc Optimize Energy Performance must be documented in LEED v4.1 or LEED v4 Pilot ACP EApc111: </t>
  </si>
  <si>
    <t xml:space="preserve">      Alternative Performance Rating Method, Case 2. Projects in the continental U.S. and other locations where hourly electric emissions factors are available must model baseline and proposed </t>
  </si>
  <si>
    <t xml:space="preserve">      building electric GHG emissions using the hourly GHG emission factors for the building's grid region, and must model avoided GHG emissions from Tier 2 off-site renewable electricity using the </t>
  </si>
  <si>
    <t xml:space="preserve">      hourly generation profile associated with the renewable asset and the hourly GHG GHG emission factors for the renewable assets grid region. Optimize Energy Performance credit is not available</t>
  </si>
  <si>
    <t xml:space="preserve">  a.  Green-e certification or equivalent is required for electricity.</t>
  </si>
  <si>
    <r>
      <t xml:space="preserve">   </t>
    </r>
    <r>
      <rPr>
        <sz val="10"/>
        <color theme="1"/>
        <rFont val="Arial"/>
        <family val="2"/>
      </rPr>
      <t>3. Geothermal Electric Generation</t>
    </r>
    <r>
      <rPr>
        <b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(not geoexchange)</t>
    </r>
  </si>
  <si>
    <r>
      <t xml:space="preserve">       - </t>
    </r>
    <r>
      <rPr>
        <sz val="10"/>
        <color theme="1"/>
        <rFont val="Arial"/>
        <family val="2"/>
      </rPr>
      <t>Low Impact Hydropower Institute (LIHI) certified in U.S.</t>
    </r>
  </si>
  <si>
    <t xml:space="preserve">      for Tier 2 renewable assets in the continental U.S. where the hourly generation profile and/or grid region is not specified in the documentation.</t>
  </si>
  <si>
    <t xml:space="preserve">  Building Type(s)</t>
  </si>
  <si>
    <t>Upload the completed spreadsheet to LEED Online.  Complete any related summary fields in the LEED credit form with the results of the calculator, and upload all other required documentation.</t>
  </si>
  <si>
    <t>Note: All information on this tab is READ-ONLY. To edit, see previous tabs.</t>
  </si>
  <si>
    <t>Table 1. Points for Renewable Energy Procurement</t>
  </si>
  <si>
    <t>Points</t>
  </si>
  <si>
    <t>Exemplary</t>
  </si>
  <si>
    <t xml:space="preserve">  a. Documentation for EAp Fundamental Commissioning must be uploaded demonstrating that the on-site renewable system has been installed and commissioned.</t>
  </si>
  <si>
    <t>EP</t>
  </si>
  <si>
    <t>Total Renewable Energy (Tier 1-3)</t>
  </si>
  <si>
    <t>Complete all fields of the table for all renewable energy sources allocated to the project.</t>
  </si>
  <si>
    <t>Tier 1: On-site renewable energy percent of annual project site energy use</t>
  </si>
  <si>
    <t>Tier 2. New Off-site renewable electricity percent of annual project site energy use</t>
  </si>
  <si>
    <t>PROJECT SITE ENERGY USE</t>
  </si>
  <si>
    <t>Summary for Design and Construction Rating Systems</t>
  </si>
  <si>
    <t>EA Credit Renewable Energy</t>
  </si>
  <si>
    <t>Tier 3. Off-site renewable percent of annual project site energy use</t>
  </si>
  <si>
    <t>Renewable electricity mix</t>
  </si>
  <si>
    <t xml:space="preserve">  e.  Captured bio-methane: Biogas from landfills, sewage treatment plants, and farm methane capture that is captured off-site and delivered to the LEED project for combustion on-site is considered Tier 3 </t>
  </si>
  <si>
    <r>
      <t xml:space="preserve">        </t>
    </r>
    <r>
      <rPr>
        <u/>
        <sz val="10"/>
        <color theme="1"/>
        <rFont val="Arial"/>
        <family val="2"/>
      </rPr>
      <t>Outside U.S. and Canada</t>
    </r>
  </si>
  <si>
    <r>
      <t xml:space="preserve">       - </t>
    </r>
    <r>
      <rPr>
        <sz val="10"/>
        <color theme="1"/>
        <rFont val="Arial"/>
        <family val="2"/>
      </rPr>
      <t>EcoLogo Certified in Canada</t>
    </r>
  </si>
  <si>
    <t>SI units</t>
  </si>
  <si>
    <t>Points:</t>
  </si>
  <si>
    <t>Last Updaled 08/02/2022</t>
  </si>
  <si>
    <t>V01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</si>
</sst>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[$-409]d\-mmm\-yyyy;@"/>
    <numFmt numFmtId="167" formatCode="#,##0.0"/>
    <numFmt numFmtId="168" formatCode="_(* #,##0.0000_);_(* \(#,##0.0000\);_(* &quot;-&quot;??_);_(@_)"/>
    <numFmt numFmtId="169" formatCode="0.0000"/>
    <numFmt numFmtId="170" formatCode="0.0"/>
  </numFmts>
  <fonts count="4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6"/>
      <color theme="0"/>
      <name val="Arial Black"/>
      <family val="2"/>
    </font>
    <font>
      <sz val="8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rgb="FF000000"/>
      <name val="Arial"/>
      <family val="2"/>
    </font>
    <font>
      <sz val="10"/>
      <color theme="0" tint="-0.249977111117893"/>
      <name val="Arial"/>
      <family val="2"/>
    </font>
    <font>
      <sz val="9"/>
      <color theme="1"/>
      <name val="Calibri"/>
      <family val="2"/>
      <scheme val="minor"/>
    </font>
    <font>
      <i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rgb="FFDDDDDD"/>
      <name val="Calibri"/>
      <family val="2"/>
      <scheme val="minor"/>
    </font>
    <font>
      <b/>
      <sz val="11"/>
      <color rgb="FFDDDDDD"/>
      <name val="Calibri"/>
      <family val="2"/>
      <scheme val="minor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777777"/>
      <name val="Arial"/>
      <family val="2"/>
    </font>
    <font>
      <sz val="9"/>
      <color rgb="FF777777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theme="8" tint="-0.499984740745262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DA63"/>
        <bgColor indexed="64"/>
      </patternFill>
    </fill>
    <fill>
      <patternFill patternType="solid">
        <fgColor rgb="FFFFFFCC"/>
        <bgColor indexed="64"/>
      </patternFill>
    </fill>
  </fills>
  <borders count="115">
    <border>
      <start/>
      <end/>
      <top/>
      <bottom/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theme="0" tint="-0.499984740745262"/>
      </start>
      <end/>
      <top style="thin">
        <color theme="0" tint="-0.499984740745262"/>
      </top>
      <bottom style="thin">
        <color theme="0" tint="-0.499984740745262"/>
      </bottom>
      <diagonal/>
    </border>
    <border>
      <start/>
      <end style="thin">
        <color theme="0" tint="-0.499984740745262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theme="0" tint="-0.499984740745262"/>
      </start>
      <end/>
      <top/>
      <bottom/>
      <diagonal/>
    </border>
    <border>
      <start/>
      <end style="thin">
        <color theme="0" tint="-0.499984740745262"/>
      </end>
      <top/>
      <bottom/>
      <diagonal/>
    </border>
    <border>
      <start style="thin">
        <color theme="0" tint="-0.499984740745262"/>
      </start>
      <end/>
      <top style="thin">
        <color theme="0" tint="-0.499984740745262"/>
      </top>
      <bottom/>
      <diagonal/>
    </border>
    <border>
      <start/>
      <end/>
      <top style="thin">
        <color theme="0" tint="-0.499984740745262"/>
      </top>
      <bottom/>
      <diagonal/>
    </border>
    <border>
      <start/>
      <end style="thin">
        <color theme="0" tint="-0.499984740745262"/>
      </end>
      <top style="thin">
        <color theme="0" tint="-0.499984740745262"/>
      </top>
      <bottom/>
      <diagonal/>
    </border>
    <border>
      <start style="thin">
        <color theme="0" tint="-0.499984740745262"/>
      </start>
      <end/>
      <top/>
      <bottom style="thin">
        <color theme="0" tint="-0.499984740745262"/>
      </bottom>
      <diagonal/>
    </border>
    <border>
      <start/>
      <end/>
      <top/>
      <bottom style="thin">
        <color theme="0" tint="-0.499984740745262"/>
      </bottom>
      <diagonal/>
    </border>
    <border>
      <start/>
      <end style="thin">
        <color theme="0" tint="-0.499984740745262"/>
      </end>
      <top/>
      <bottom style="thin">
        <color theme="0" tint="-0.499984740745262"/>
      </bottom>
      <diagonal/>
    </border>
    <border>
      <start/>
      <end/>
      <top style="thin">
        <color theme="0" tint="-0.499984740745262"/>
      </top>
      <bottom style="thin">
        <color theme="0" tint="-0.499984740745262"/>
      </bottom>
      <diagonal/>
    </border>
    <border>
      <start/>
      <end/>
      <top style="thin">
        <color theme="0" tint="-0.24994659260841701"/>
      </top>
      <bottom/>
      <diagonal/>
    </border>
    <border>
      <start style="thin">
        <color theme="0" tint="-0.499984740745262"/>
      </start>
      <end style="thin">
        <color theme="0" tint="-0.499984740745262"/>
      </end>
      <top/>
      <bottom/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499984740745262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 style="thin">
        <color theme="0" tint="-0.499984740745262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0" tint="-0.499984740745262"/>
      </end>
      <top style="thin">
        <color theme="0" tint="-0.24994659260841701"/>
      </top>
      <bottom style="thin">
        <color theme="0" tint="-0.499984740745262"/>
      </bottom>
      <diagonal/>
    </border>
    <border>
      <start/>
      <end style="thin">
        <color theme="0" tint="-0.499984740745262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24994659260841701"/>
      </top>
      <bottom/>
      <diagonal/>
    </border>
    <border>
      <start style="thin">
        <color theme="0" tint="-0.24994659260841701"/>
      </start>
      <end/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theme="0" tint="-0.24994659260841701"/>
      </end>
      <top/>
      <bottom style="thin">
        <color theme="0" tint="-0.24994659260841701"/>
      </bottom>
      <diagonal/>
    </border>
    <border>
      <start/>
      <end/>
      <top style="thin">
        <color theme="0" tint="-0.499984740745262"/>
      </top>
      <bottom style="thin">
        <color theme="0" tint="-0.24994659260841701"/>
      </bottom>
      <diagonal/>
    </border>
    <border>
      <start/>
      <end/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499984740745262"/>
      </top>
      <bottom/>
      <diagonal/>
    </border>
    <border>
      <start style="thin">
        <color theme="0" tint="-0.499984740745262"/>
      </start>
      <end/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499984740745262"/>
      </start>
      <end/>
      <top style="thin">
        <color theme="0" tint="-0.24994659260841701"/>
      </top>
      <bottom style="thin">
        <color theme="0" tint="-0.24994659260841701"/>
      </bottom>
      <diagonal/>
    </border>
    <border>
      <start/>
      <end style="thin">
        <color theme="0" tint="-0.24994659260841701"/>
      </end>
      <top style="thin">
        <color theme="0" tint="-0.499984740745262"/>
      </top>
      <bottom style="thin">
        <color theme="0" tint="-0.24994659260841701"/>
      </bottom>
      <diagonal/>
    </border>
    <border>
      <start/>
      <end style="thin">
        <color theme="0" tint="-0.24994659260841701"/>
      </end>
      <top style="thin">
        <color theme="0" tint="-0.24994659260841701"/>
      </top>
      <bottom style="thin">
        <color theme="0" tint="-0.24994659260841701"/>
      </bottom>
      <diagonal/>
    </border>
    <border>
      <start/>
      <end style="thin">
        <color theme="0" tint="-0.24994659260841701"/>
      </end>
      <top style="thin">
        <color theme="0" tint="-0.24994659260841701"/>
      </top>
      <bottom/>
      <diagonal/>
    </border>
    <border>
      <start/>
      <end style="thin">
        <color theme="0" tint="-0.2499465926084170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theme="0" tint="-0.499984740745262"/>
      </start>
      <end style="thin">
        <color indexed="64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499984740745262"/>
      </top>
      <bottom/>
      <diagonal/>
    </border>
    <border>
      <start style="thin">
        <color theme="0" tint="-0.24994659260841701"/>
      </start>
      <end style="thin">
        <color theme="0" tint="-0.24994659260841701"/>
      </end>
      <top/>
      <bottom style="thin">
        <color theme="0" tint="-0.499984740745262"/>
      </bottom>
      <diagonal/>
    </border>
    <border>
      <start style="thin">
        <color theme="0" tint="-0.24994659260841701"/>
      </start>
      <end/>
      <top style="thin">
        <color theme="0" tint="-0.499984740745262"/>
      </top>
      <bottom/>
      <diagonal/>
    </border>
    <border>
      <start style="thin">
        <color theme="0" tint="-0.24994659260841701"/>
      </start>
      <end/>
      <top/>
      <bottom style="thin">
        <color theme="0" tint="-0.499984740745262"/>
      </bottom>
      <diagonal/>
    </border>
    <border>
      <start/>
      <end style="thin">
        <color theme="0" tint="-0.24994659260841701"/>
      </end>
      <top/>
      <bottom style="thin">
        <color theme="0" tint="-0.24994659260841701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theme="0" tint="-0.24994659260841701"/>
      </end>
      <top/>
      <bottom/>
      <diagonal/>
    </border>
    <border>
      <start style="thin">
        <color theme="0" tint="-0.499984740745262"/>
      </start>
      <end style="thin">
        <color auto="1"/>
      </end>
      <top style="thin">
        <color theme="0" tint="-0.499984740745262"/>
      </top>
      <bottom style="thin">
        <color auto="1"/>
      </bottom>
      <diagonal/>
    </border>
    <border>
      <start/>
      <end style="thin">
        <color theme="0" tint="-0.24994659260841701"/>
      </end>
      <top style="thin">
        <color theme="0" tint="-0.499984740745262"/>
      </top>
      <bottom/>
      <diagonal/>
    </border>
    <border>
      <start/>
      <end/>
      <top/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1"/>
      </top>
      <bottom style="thin">
        <color theme="0" tint="-0.24994659260841701"/>
      </bottom>
      <diagonal/>
    </border>
    <border>
      <start/>
      <end/>
      <top style="thin">
        <color theme="1"/>
      </top>
      <bottom style="thin">
        <color theme="0" tint="-0.24994659260841701"/>
      </bottom>
      <diagonal/>
    </border>
    <border>
      <start style="thin">
        <color theme="0" tint="-0.499984740745262"/>
      </start>
      <end/>
      <top style="thin">
        <color theme="0" tint="-0.499984740745262"/>
      </top>
      <bottom style="thin">
        <color auto="1"/>
      </bottom>
      <diagonal/>
    </border>
    <border>
      <start/>
      <end style="thin">
        <color theme="0" tint="-0.24994659260841701"/>
      </end>
      <top/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1"/>
      </end>
      <top style="thin">
        <color theme="0" tint="-0.499984740745262"/>
      </top>
      <bottom style="thin">
        <color theme="0" tint="-0.24994659260841701"/>
      </bottom>
      <diagonal/>
    </border>
    <border>
      <start/>
      <end style="thin">
        <color auto="1"/>
      </end>
      <top style="thin">
        <color theme="0" tint="-0.499984740745262"/>
      </top>
      <bottom style="thin">
        <color theme="0" tint="-0.24994659260841701"/>
      </bottom>
      <diagonal/>
    </border>
    <border>
      <start/>
      <end style="thin">
        <color auto="1"/>
      </end>
      <top style="thin">
        <color theme="0" tint="-0.24994659260841701"/>
      </top>
      <bottom style="thin">
        <color theme="0" tint="-0.499984740745262"/>
      </bottom>
      <diagonal/>
    </border>
    <border>
      <start/>
      <end style="thin">
        <color auto="1"/>
      </end>
      <top/>
      <bottom style="thin">
        <color theme="0" tint="-0.24994659260841701"/>
      </bottom>
      <diagonal/>
    </border>
    <border>
      <start/>
      <end style="thin">
        <color auto="1"/>
      </end>
      <top/>
      <bottom/>
      <diagonal/>
    </border>
    <border>
      <start/>
      <end style="thin">
        <color theme="0" tint="-0.24994659260841701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auto="1"/>
      </start>
      <end style="thin">
        <color theme="0" tint="-0.499984740745262"/>
      </end>
      <top/>
      <bottom style="thin">
        <color theme="0" tint="-0.499984740745262"/>
      </bottom>
      <diagonal/>
    </border>
    <border>
      <start style="thin">
        <color theme="0" tint="-0.499984740745262"/>
      </start>
      <end style="thin">
        <color theme="0" tint="-0.499984740745262"/>
      </end>
      <top/>
      <bottom style="thin">
        <color theme="0" tint="-0.499984740745262"/>
      </bottom>
      <diagonal/>
    </border>
    <border>
      <start style="thin">
        <color theme="0" tint="-0.499984740745262"/>
      </start>
      <end/>
      <top style="thin">
        <color auto="1"/>
      </top>
      <bottom style="thin">
        <color theme="0" tint="-0.24994659260841701"/>
      </bottom>
      <diagonal/>
    </border>
    <border>
      <start/>
      <end/>
      <top style="thin">
        <color auto="1"/>
      </top>
      <bottom style="thin">
        <color theme="0" tint="-0.24994659260841701"/>
      </bottom>
      <diagonal/>
    </border>
    <border>
      <start/>
      <end style="thin">
        <color auto="1"/>
      </end>
      <top style="thin">
        <color auto="1"/>
      </top>
      <bottom style="thin">
        <color theme="0" tint="-0.24994659260841701"/>
      </bottom>
      <diagonal/>
    </border>
    <border>
      <start style="thin">
        <color auto="1"/>
      </start>
      <end style="thin">
        <color theme="0" tint="-0.499984740745262"/>
      </end>
      <top style="thin">
        <color auto="1"/>
      </top>
      <bottom style="thin">
        <color auto="1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auto="1"/>
      </top>
      <bottom style="thin">
        <color auto="1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24994659260841701"/>
      </top>
      <bottom style="thin">
        <color theme="0" tint="-0.24994659260841701"/>
      </bottom>
      <diagonal/>
    </border>
    <border>
      <start/>
      <end/>
      <top style="thin">
        <color theme="0" tint="-0.499984740745262"/>
      </top>
      <bottom style="thin">
        <color auto="1"/>
      </bottom>
      <diagonal/>
    </border>
    <border>
      <start/>
      <end style="thin">
        <color theme="0" tint="-0.24994659260841701"/>
      </end>
      <top style="thin">
        <color theme="0" tint="-0.499984740745262"/>
      </top>
      <bottom style="thin">
        <color auto="1"/>
      </bottom>
      <diagonal/>
    </border>
    <border>
      <start style="thin">
        <color theme="0" tint="-0.24994659260841701"/>
      </start>
      <end style="thin">
        <color theme="0" tint="-0.24994659260841701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auto="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auto="1"/>
      </end>
      <top/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auto="1"/>
      </end>
      <top/>
      <bottom/>
      <diagonal/>
    </border>
    <border>
      <start style="thin">
        <color theme="0" tint="-0.499984740745262"/>
      </start>
      <end style="thin">
        <color theme="0" tint="-0.24994659260841701"/>
      </end>
      <top/>
      <bottom/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theme="0" tint="-0.24994659260841701"/>
      </end>
      <top style="thin">
        <color theme="0" tint="-0.499984740745262"/>
      </top>
      <bottom style="thin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/>
      <top style="thin">
        <color auto="1"/>
      </top>
      <bottom/>
      <diagonal/>
    </border>
    <border>
      <start style="thin">
        <color theme="1"/>
      </start>
      <end style="thin">
        <color theme="0" tint="-0.24994659260841701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1"/>
      </start>
      <end style="thin">
        <color theme="0" tint="-0.2499465926084170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1"/>
      </end>
      <top style="thin">
        <color theme="0" tint="-0.24994659260841701"/>
      </top>
      <bottom style="thin">
        <color theme="0" tint="-0.499984740745262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theme="0" tint="-0.499984740745262"/>
      </bottom>
      <diagonal/>
    </border>
    <border>
      <start/>
      <end style="thin">
        <color indexed="64"/>
      </end>
      <top style="thin">
        <color indexed="64"/>
      </top>
      <bottom style="thin">
        <color theme="0" tint="-0.499984740745262"/>
      </bottom>
      <diagonal/>
    </border>
    <border>
      <start style="thin">
        <color theme="0" tint="-0.24994659260841701"/>
      </start>
      <end style="thin">
        <color theme="0" tint="-0.499984740745262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auto="1"/>
      </start>
      <end style="thin">
        <color theme="0" tint="-0.499984740745262"/>
      </end>
      <top style="thin">
        <color auto="1"/>
      </top>
      <bottom/>
      <diagonal/>
    </border>
    <border>
      <start style="thin">
        <color theme="0" tint="-0.499984740745262"/>
      </start>
      <end style="thin">
        <color auto="1"/>
      </end>
      <top style="thin">
        <color auto="1"/>
      </top>
      <bottom/>
      <diagonal/>
    </border>
    <border>
      <start/>
      <end style="thin">
        <color theme="0" tint="-0.499984740745262"/>
      </end>
      <top style="thin">
        <color indexed="64"/>
      </top>
      <bottom/>
      <diagonal/>
    </border>
    <border>
      <start/>
      <end style="thin">
        <color theme="0" tint="-0.499984740745262"/>
      </end>
      <top style="thin">
        <color theme="0" tint="-0.24994659260841701"/>
      </top>
      <bottom style="thin">
        <color theme="0" tint="-0.24994659260841701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499984740745262"/>
      </top>
      <bottom style="thin">
        <color theme="0" tint="-0.24994659260841701"/>
      </bottom>
      <diagonal/>
    </border>
    <border>
      <start style="thin">
        <color theme="0" tint="-0.24994659260841701"/>
      </start>
      <end/>
      <top style="thin">
        <color theme="0" tint="-0.24994659260841701"/>
      </top>
      <bottom/>
      <diagonal/>
    </border>
    <border>
      <start/>
      <end style="thin">
        <color theme="0" tint="-0.499984740745262"/>
      </end>
      <top style="thin">
        <color theme="0" tint="-0.24994659260841701"/>
      </top>
      <bottom/>
      <diagonal/>
    </border>
    <border>
      <start style="thin">
        <color theme="0" tint="-0.499984740745262"/>
      </start>
      <end/>
      <top style="thin">
        <color theme="0" tint="-0.24994659260841701"/>
      </top>
      <bottom/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24994659260841701"/>
      </top>
      <bottom/>
      <diagonal/>
    </border>
    <border>
      <start style="thin">
        <color theme="0" tint="-0.24994659260841701"/>
      </start>
      <end style="thin">
        <color theme="0" tint="-0.499984740745262"/>
      </end>
      <top style="thin">
        <color theme="0" tint="-0.24994659260841701"/>
      </top>
      <bottom/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 style="thin">
        <color theme="0" tint="-0.499984740745262"/>
      </start>
      <end style="thin">
        <color theme="0" tint="-0.24994659260841701"/>
      </end>
      <top style="thin">
        <color auto="1"/>
      </top>
      <bottom style="thin">
        <color auto="1"/>
      </bottom>
      <diagonal/>
    </border>
    <border>
      <start style="thin">
        <color theme="0" tint="-0.24994659260841701"/>
      </start>
      <end/>
      <top style="thin">
        <color auto="1"/>
      </top>
      <bottom style="thin">
        <color auto="1"/>
      </bottom>
      <diagonal/>
    </border>
    <border>
      <start/>
      <end style="thin">
        <color theme="0" tint="-0.24994659260841701"/>
      </end>
      <top style="thin">
        <color auto="1"/>
      </top>
      <bottom style="thin">
        <color auto="1"/>
      </bottom>
      <diagonal/>
    </border>
    <border>
      <start/>
      <end style="thin">
        <color theme="0" tint="-0.499984740745262"/>
      </end>
      <top style="thin">
        <color auto="1"/>
      </top>
      <bottom style="thin">
        <color auto="1"/>
      </bottom>
      <diagonal/>
    </border>
    <border>
      <start style="thin">
        <color theme="0" tint="-0.499984740745262"/>
      </start>
      <end/>
      <top style="thin">
        <color auto="1"/>
      </top>
      <bottom style="thin">
        <color auto="1"/>
      </bottom>
      <diagonal/>
    </border>
    <border>
      <start style="thin">
        <color theme="0" tint="-0.499984740745262"/>
      </start>
      <end style="thin">
        <color theme="0" tint="-0.499984740745262"/>
      </end>
      <top/>
      <bottom style="thin">
        <color auto="1"/>
      </bottom>
      <diagonal/>
    </border>
    <border>
      <start style="thin">
        <color auto="1"/>
      </start>
      <end style="thin">
        <color theme="0" tint="-0.499984740745262"/>
      </end>
      <top style="thin">
        <color auto="1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auto="1"/>
      </top>
      <bottom style="thin">
        <color theme="0" tint="-0.499984740745262"/>
      </bottom>
      <diagonal/>
    </border>
    <border>
      <start style="thin">
        <color theme="0" tint="-0.499984740745262"/>
      </start>
      <end style="thin">
        <color indexed="64"/>
      </end>
      <top style="thin">
        <color auto="1"/>
      </top>
      <bottom style="thin">
        <color theme="0" tint="-0.499984740745262"/>
      </bottom>
      <diagonal/>
    </border>
    <border>
      <start style="thin">
        <color auto="1"/>
      </start>
      <end style="thin">
        <color theme="0" tint="-0.499984740745262"/>
      </end>
      <top style="thin">
        <color theme="0" tint="-0.499984740745262"/>
      </top>
      <bottom style="thin">
        <color theme="0" tint="-0.499984740745262"/>
      </bottom>
      <diagonal/>
    </border>
    <border>
      <start style="thin">
        <color auto="1"/>
      </start>
      <end style="thin">
        <color theme="0" tint="-0.499984740745262"/>
      </end>
      <top style="thin">
        <color theme="0" tint="-0.499984740745262"/>
      </top>
      <bottom style="thin">
        <color indexed="64"/>
      </bottom>
      <diagonal/>
    </border>
    <border>
      <start style="thin">
        <color theme="0" tint="-0.499984740745262"/>
      </start>
      <end style="thin">
        <color theme="0" tint="-0.499984740745262"/>
      </end>
      <top style="thin">
        <color theme="0" tint="-0.499984740745262"/>
      </top>
      <bottom style="thin">
        <color indexed="64"/>
      </bottom>
      <diagonal/>
    </border>
  </borders>
  <cellStyleXfs count="9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0"/>
    <xf numFmtId="43" fontId="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421">
    <xf numFmtId="0" fontId="0" fillId="0" borderId="0" xfId="0"/>
    <xf numFmtId="0" fontId="12" fillId="0" borderId="0" xfId="0" applyFont="1" applyBorder="1" applyAlignment="1" applyProtection="1">
      <alignment wrapText="1"/>
      <protection hidden="1"/>
    </xf>
    <xf numFmtId="0" fontId="12" fillId="0" borderId="0" xfId="0" applyFont="1" applyAlignment="1" applyProtection="1">
      <alignment wrapText="1"/>
      <protection hidden="1"/>
    </xf>
    <xf numFmtId="0" fontId="6" fillId="3" borderId="0" xfId="0" applyFont="1" applyFill="1" applyBorder="1" applyAlignment="1" applyProtection="1">
      <alignment wrapText="1"/>
      <protection hidden="1"/>
    </xf>
    <xf numFmtId="0" fontId="6" fillId="5" borderId="0" xfId="0" applyFont="1" applyFill="1" applyBorder="1" applyAlignment="1" applyProtection="1">
      <alignment wrapText="1"/>
      <protection hidden="1"/>
    </xf>
    <xf numFmtId="0" fontId="6" fillId="5" borderId="0" xfId="0" applyFont="1" applyFill="1" applyBorder="1" applyProtection="1">
      <protection hidden="1"/>
    </xf>
    <xf numFmtId="0" fontId="6" fillId="3" borderId="0" xfId="0" applyFont="1" applyFill="1" applyBorder="1" applyAlignment="1" applyProtection="1">
      <protection hidden="1"/>
    </xf>
    <xf numFmtId="0" fontId="8" fillId="3" borderId="0" xfId="0" applyFont="1" applyFill="1" applyBorder="1" applyAlignment="1" applyProtection="1">
      <alignment horizontal="left" indent="2"/>
      <protection hidden="1"/>
    </xf>
    <xf numFmtId="0" fontId="6" fillId="3" borderId="0" xfId="0" applyFont="1" applyFill="1" applyBorder="1" applyAlignment="1" applyProtection="1">
      <alignment vertical="center" wrapText="1"/>
      <protection hidden="1"/>
    </xf>
    <xf numFmtId="0" fontId="11" fillId="3" borderId="0" xfId="0" applyFont="1" applyFill="1" applyBorder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wrapText="1"/>
      <protection hidden="1"/>
    </xf>
    <xf numFmtId="0" fontId="6" fillId="3" borderId="0" xfId="0" applyFont="1" applyFill="1" applyBorder="1" applyAlignment="1" applyProtection="1">
      <alignment horizontal="left" wrapText="1"/>
      <protection hidden="1"/>
    </xf>
    <xf numFmtId="0" fontId="6" fillId="3" borderId="0" xfId="0" applyFont="1" applyFill="1" applyBorder="1" applyProtection="1">
      <protection hidden="1"/>
    </xf>
    <xf numFmtId="0" fontId="6" fillId="3" borderId="0" xfId="0" applyFont="1" applyFill="1" applyBorder="1" applyAlignment="1" applyProtection="1">
      <alignment vertical="center"/>
      <protection hidden="1"/>
    </xf>
    <xf numFmtId="0" fontId="6" fillId="3" borderId="6" xfId="0" applyFont="1" applyFill="1" applyBorder="1" applyAlignment="1" applyProtection="1">
      <alignment wrapText="1"/>
      <protection hidden="1"/>
    </xf>
    <xf numFmtId="0" fontId="6" fillId="3" borderId="7" xfId="0" applyFont="1" applyFill="1" applyBorder="1" applyAlignment="1" applyProtection="1">
      <alignment wrapText="1"/>
      <protection hidden="1"/>
    </xf>
    <xf numFmtId="0" fontId="14" fillId="3" borderId="7" xfId="0" applyFont="1" applyFill="1" applyBorder="1" applyAlignment="1" applyProtection="1">
      <alignment vertical="center"/>
      <protection hidden="1"/>
    </xf>
    <xf numFmtId="0" fontId="6" fillId="3" borderId="7" xfId="0" applyFont="1" applyFill="1" applyBorder="1" applyAlignment="1" applyProtection="1">
      <protection hidden="1"/>
    </xf>
    <xf numFmtId="0" fontId="6" fillId="3" borderId="8" xfId="0" applyFont="1" applyFill="1" applyBorder="1" applyAlignment="1" applyProtection="1">
      <protection hidden="1"/>
    </xf>
    <xf numFmtId="0" fontId="6" fillId="3" borderId="4" xfId="0" applyFont="1" applyFill="1" applyBorder="1" applyAlignment="1" applyProtection="1">
      <alignment wrapText="1"/>
      <protection hidden="1"/>
    </xf>
    <xf numFmtId="0" fontId="6" fillId="3" borderId="5" xfId="0" applyFont="1" applyFill="1" applyBorder="1" applyAlignment="1" applyProtection="1">
      <alignment wrapText="1"/>
      <protection hidden="1"/>
    </xf>
    <xf numFmtId="0" fontId="7" fillId="3" borderId="4" xfId="0" applyFont="1" applyFill="1" applyBorder="1" applyAlignment="1" applyProtection="1">
      <alignment wrapText="1"/>
      <protection hidden="1"/>
    </xf>
    <xf numFmtId="0" fontId="6" fillId="3" borderId="5" xfId="0" applyFont="1" applyFill="1" applyBorder="1" applyProtection="1">
      <protection hidden="1"/>
    </xf>
    <xf numFmtId="0" fontId="6" fillId="3" borderId="9" xfId="0" applyFont="1" applyFill="1" applyBorder="1" applyAlignment="1" applyProtection="1">
      <alignment wrapText="1"/>
      <protection hidden="1"/>
    </xf>
    <xf numFmtId="0" fontId="6" fillId="3" borderId="10" xfId="0" applyFont="1" applyFill="1" applyBorder="1" applyAlignment="1" applyProtection="1">
      <alignment wrapText="1"/>
      <protection hidden="1"/>
    </xf>
    <xf numFmtId="0" fontId="6" fillId="3" borderId="11" xfId="0" applyFont="1" applyFill="1" applyBorder="1" applyAlignment="1" applyProtection="1">
      <alignment wrapText="1"/>
      <protection hidden="1"/>
    </xf>
    <xf numFmtId="0" fontId="7" fillId="3" borderId="0" xfId="0" applyFont="1" applyFill="1" applyBorder="1" applyAlignment="1" applyProtection="1">
      <protection hidden="1"/>
    </xf>
    <xf numFmtId="0" fontId="7" fillId="3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alignment wrapText="1"/>
      <protection hidden="1"/>
    </xf>
    <xf numFmtId="0" fontId="12" fillId="0" borderId="0" xfId="0" applyFont="1" applyFill="1" applyProtection="1">
      <protection hidden="1"/>
    </xf>
    <xf numFmtId="0" fontId="12" fillId="0" borderId="0" xfId="0" applyFont="1" applyProtection="1">
      <protection hidden="1"/>
    </xf>
    <xf numFmtId="0" fontId="19" fillId="0" borderId="0" xfId="0" applyFont="1" applyFill="1" applyAlignment="1" applyProtection="1">
      <alignment vertical="center" wrapText="1"/>
      <protection hidden="1"/>
    </xf>
    <xf numFmtId="0" fontId="15" fillId="5" borderId="0" xfId="4" applyFont="1" applyFill="1" applyBorder="1" applyProtection="1">
      <protection hidden="1"/>
    </xf>
    <xf numFmtId="0" fontId="15" fillId="3" borderId="4" xfId="4" applyFont="1" applyFill="1" applyBorder="1" applyProtection="1">
      <protection hidden="1"/>
    </xf>
    <xf numFmtId="0" fontId="15" fillId="3" borderId="0" xfId="4" applyFont="1" applyFill="1" applyBorder="1" applyProtection="1">
      <protection hidden="1"/>
    </xf>
    <xf numFmtId="0" fontId="15" fillId="3" borderId="5" xfId="4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0" fontId="11" fillId="5" borderId="0" xfId="0" applyFont="1" applyFill="1" applyProtection="1">
      <protection hidden="1"/>
    </xf>
    <xf numFmtId="0" fontId="11" fillId="3" borderId="4" xfId="0" applyFont="1" applyFill="1" applyBorder="1" applyAlignment="1" applyProtection="1">
      <alignment vertical="center"/>
      <protection hidden="1"/>
    </xf>
    <xf numFmtId="0" fontId="11" fillId="3" borderId="0" xfId="0" applyFont="1" applyFill="1" applyBorder="1" applyProtection="1">
      <protection hidden="1"/>
    </xf>
    <xf numFmtId="0" fontId="0" fillId="3" borderId="0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17" fillId="3" borderId="0" xfId="0" applyFont="1" applyFill="1" applyBorder="1" applyAlignment="1" applyProtection="1">
      <alignment vertical="center"/>
      <protection hidden="1"/>
    </xf>
    <xf numFmtId="0" fontId="9" fillId="4" borderId="14" xfId="0" applyFont="1" applyFill="1" applyBorder="1" applyAlignment="1" applyProtection="1">
      <alignment horizontal="center" vertical="center" wrapText="1"/>
      <protection hidden="1"/>
    </xf>
    <xf numFmtId="4" fontId="22" fillId="5" borderId="1" xfId="1" applyNumberFormat="1" applyFont="1" applyFill="1" applyBorder="1" applyAlignment="1" applyProtection="1">
      <alignment horizontal="left" vertical="center" wrapText="1" indent="1"/>
      <protection locked="0"/>
    </xf>
    <xf numFmtId="4" fontId="22" fillId="4" borderId="14" xfId="0" applyNumberFormat="1" applyFont="1" applyFill="1" applyBorder="1" applyAlignment="1" applyProtection="1">
      <alignment horizontal="right" vertical="center" wrapText="1"/>
      <protection locked="0"/>
    </xf>
    <xf numFmtId="0" fontId="22" fillId="5" borderId="18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Protection="1">
      <protection hidden="1"/>
    </xf>
    <xf numFmtId="0" fontId="23" fillId="5" borderId="0" xfId="0" applyFont="1" applyFill="1" applyBorder="1" applyAlignment="1" applyProtection="1">
      <alignment wrapText="1"/>
      <protection hidden="1"/>
    </xf>
    <xf numFmtId="0" fontId="22" fillId="5" borderId="29" xfId="0" applyFont="1" applyFill="1" applyBorder="1" applyAlignment="1" applyProtection="1">
      <alignment horizontal="left" vertical="center" wrapText="1"/>
      <protection locked="0"/>
    </xf>
    <xf numFmtId="0" fontId="22" fillId="5" borderId="2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12" fillId="4" borderId="32" xfId="0" applyFont="1" applyFill="1" applyBorder="1" applyAlignment="1" applyProtection="1">
      <alignment horizontal="center" vertical="center" wrapText="1"/>
      <protection hidden="1"/>
    </xf>
    <xf numFmtId="0" fontId="2" fillId="5" borderId="0" xfId="88" applyFont="1" applyFill="1" applyBorder="1" applyAlignment="1" applyProtection="1">
      <alignment vertical="center"/>
    </xf>
    <xf numFmtId="0" fontId="2" fillId="3" borderId="4" xfId="88" applyFont="1" applyFill="1" applyBorder="1" applyAlignment="1" applyProtection="1">
      <alignment vertical="center"/>
    </xf>
    <xf numFmtId="0" fontId="13" fillId="3" borderId="0" xfId="88" applyFont="1" applyFill="1" applyBorder="1" applyAlignment="1" applyProtection="1">
      <alignment horizontal="left" vertical="center"/>
    </xf>
    <xf numFmtId="0" fontId="6" fillId="3" borderId="0" xfId="5" applyNumberFormat="1" applyFont="1" applyFill="1" applyBorder="1" applyAlignment="1" applyProtection="1">
      <alignment vertical="center" wrapText="1"/>
    </xf>
    <xf numFmtId="0" fontId="23" fillId="3" borderId="0" xfId="5" applyNumberFormat="1" applyFont="1" applyFill="1" applyBorder="1" applyAlignment="1" applyProtection="1">
      <alignment vertical="center"/>
    </xf>
    <xf numFmtId="0" fontId="2" fillId="3" borderId="5" xfId="88" applyFont="1" applyFill="1" applyBorder="1" applyAlignment="1" applyProtection="1">
      <alignment vertical="center"/>
    </xf>
    <xf numFmtId="0" fontId="2" fillId="0" borderId="0" xfId="88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19" xfId="0" applyFont="1" applyBorder="1" applyAlignment="1" applyProtection="1">
      <alignment horizontal="center" vertical="center" wrapText="1"/>
      <protection hidden="1"/>
    </xf>
    <xf numFmtId="0" fontId="25" fillId="5" borderId="0" xfId="90" applyFont="1" applyFill="1" applyBorder="1" applyAlignment="1" applyProtection="1">
      <alignment horizontal="right" vertical="center"/>
    </xf>
    <xf numFmtId="0" fontId="25" fillId="5" borderId="0" xfId="4" applyFont="1" applyFill="1" applyBorder="1" applyAlignment="1" applyProtection="1">
      <alignment horizontal="right" vertical="center"/>
    </xf>
    <xf numFmtId="0" fontId="25" fillId="5" borderId="0" xfId="4" applyFont="1" applyFill="1" applyAlignment="1" applyProtection="1">
      <alignment horizontal="right" vertical="center"/>
    </xf>
    <xf numFmtId="0" fontId="6" fillId="3" borderId="0" xfId="0" applyFont="1" applyFill="1" applyBorder="1" applyAlignment="1" applyProtection="1">
      <alignment horizontal="left" vertical="center" wrapText="1"/>
      <protection hidden="1"/>
    </xf>
    <xf numFmtId="0" fontId="9" fillId="2" borderId="21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3" fillId="6" borderId="0" xfId="0" applyFont="1" applyFill="1" applyProtection="1">
      <protection hidden="1"/>
    </xf>
    <xf numFmtId="0" fontId="12" fillId="6" borderId="0" xfId="0" applyFont="1" applyFill="1" applyProtection="1">
      <protection hidden="1"/>
    </xf>
    <xf numFmtId="0" fontId="19" fillId="6" borderId="0" xfId="0" applyFont="1" applyFill="1" applyBorder="1" applyProtection="1">
      <protection hidden="1"/>
    </xf>
    <xf numFmtId="0" fontId="24" fillId="6" borderId="0" xfId="0" applyFont="1" applyFill="1" applyAlignment="1" applyProtection="1">
      <alignment vertical="center"/>
      <protection hidden="1"/>
    </xf>
    <xf numFmtId="0" fontId="19" fillId="6" borderId="0" xfId="0" applyFont="1" applyFill="1" applyAlignment="1" applyProtection="1">
      <alignment vertical="center" wrapText="1"/>
      <protection hidden="1"/>
    </xf>
    <xf numFmtId="0" fontId="9" fillId="2" borderId="38" xfId="0" applyFont="1" applyFill="1" applyBorder="1" applyAlignment="1" applyProtection="1">
      <alignment horizontal="center" vertical="center" wrapText="1"/>
      <protection hidden="1"/>
    </xf>
    <xf numFmtId="0" fontId="22" fillId="5" borderId="45" xfId="0" applyFont="1" applyFill="1" applyBorder="1" applyAlignment="1" applyProtection="1">
      <alignment horizontal="left" vertical="center" wrapText="1"/>
      <protection locked="0"/>
    </xf>
    <xf numFmtId="0" fontId="22" fillId="5" borderId="36" xfId="0" applyFont="1" applyFill="1" applyBorder="1" applyAlignment="1" applyProtection="1">
      <alignment horizontal="left" vertical="center" wrapText="1"/>
      <protection locked="0"/>
    </xf>
    <xf numFmtId="0" fontId="22" fillId="5" borderId="37" xfId="0" applyFont="1" applyFill="1" applyBorder="1" applyAlignment="1" applyProtection="1">
      <alignment horizontal="left" vertical="center" wrapText="1"/>
      <protection locked="0"/>
    </xf>
    <xf numFmtId="0" fontId="0" fillId="0" borderId="46" xfId="0" applyBorder="1"/>
    <xf numFmtId="0" fontId="28" fillId="0" borderId="0" xfId="0" applyFont="1"/>
    <xf numFmtId="0" fontId="27" fillId="0" borderId="46" xfId="0" applyFont="1" applyBorder="1"/>
    <xf numFmtId="0" fontId="0" fillId="0" borderId="0" xfId="0" applyFont="1" applyFill="1" applyBorder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27" fillId="0" borderId="0" xfId="0" applyFont="1"/>
    <xf numFmtId="0" fontId="0" fillId="0" borderId="0" xfId="0" applyAlignment="1">
      <alignment wrapText="1"/>
    </xf>
    <xf numFmtId="0" fontId="1" fillId="0" borderId="0" xfId="0" applyFont="1" applyAlignment="1" applyProtection="1">
      <alignment wrapText="1"/>
      <protection hidden="1"/>
    </xf>
    <xf numFmtId="0" fontId="1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0" fillId="0" borderId="0" xfId="0" applyFont="1" applyAlignment="1" applyProtection="1">
      <alignment wrapText="1"/>
      <protection hidden="1"/>
    </xf>
    <xf numFmtId="0" fontId="6" fillId="0" borderId="0" xfId="5"/>
    <xf numFmtId="0" fontId="6" fillId="0" borderId="0" xfId="5" applyFill="1"/>
    <xf numFmtId="0" fontId="0" fillId="0" borderId="0" xfId="0" applyAlignment="1">
      <alignment horizontal="center"/>
    </xf>
    <xf numFmtId="0" fontId="9" fillId="2" borderId="28" xfId="0" applyFont="1" applyFill="1" applyBorder="1" applyAlignment="1" applyProtection="1">
      <alignment horizontal="center" vertical="center" wrapText="1"/>
      <protection hidden="1"/>
    </xf>
    <xf numFmtId="0" fontId="9" fillId="2" borderId="53" xfId="0" applyFont="1" applyFill="1" applyBorder="1" applyAlignment="1" applyProtection="1">
      <alignment horizontal="centerContinuous" vertical="center" wrapText="1"/>
      <protection hidden="1"/>
    </xf>
    <xf numFmtId="0" fontId="9" fillId="2" borderId="54" xfId="0" applyFont="1" applyFill="1" applyBorder="1" applyAlignment="1" applyProtection="1">
      <alignment horizontal="centerContinuous" vertical="center" wrapText="1"/>
      <protection hidden="1"/>
    </xf>
    <xf numFmtId="0" fontId="9" fillId="2" borderId="22" xfId="0" applyFont="1" applyFill="1" applyBorder="1" applyAlignment="1" applyProtection="1">
      <alignment horizontal="centerContinuous" vertical="center" wrapText="1"/>
      <protection hidden="1"/>
    </xf>
    <xf numFmtId="0" fontId="32" fillId="0" borderId="0" xfId="0" applyFont="1" applyBorder="1" applyAlignment="1" applyProtection="1">
      <alignment horizontal="center" wrapText="1"/>
      <protection hidden="1"/>
    </xf>
    <xf numFmtId="166" fontId="22" fillId="5" borderId="45" xfId="0" applyNumberFormat="1" applyFont="1" applyFill="1" applyBorder="1" applyAlignment="1" applyProtection="1">
      <alignment horizontal="left" vertical="center" wrapText="1"/>
      <protection locked="0"/>
    </xf>
    <xf numFmtId="166" fontId="22" fillId="5" borderId="36" xfId="0" applyNumberFormat="1" applyFont="1" applyFill="1" applyBorder="1" applyAlignment="1" applyProtection="1">
      <alignment horizontal="left" vertical="center" wrapText="1"/>
      <protection locked="0"/>
    </xf>
    <xf numFmtId="166" fontId="22" fillId="5" borderId="37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quotePrefix="1" applyFont="1" applyAlignment="1" applyProtection="1">
      <alignment wrapText="1"/>
      <protection hidden="1"/>
    </xf>
    <xf numFmtId="3" fontId="22" fillId="4" borderId="14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26" xfId="0" applyFont="1" applyFill="1" applyBorder="1" applyAlignment="1" applyProtection="1">
      <alignment horizontal="centerContinuous" vertical="center" wrapText="1"/>
      <protection hidden="1"/>
    </xf>
    <xf numFmtId="0" fontId="9" fillId="2" borderId="58" xfId="0" applyFont="1" applyFill="1" applyBorder="1" applyAlignment="1" applyProtection="1">
      <alignment horizontal="centerContinuous" vertical="center" wrapText="1"/>
      <protection hidden="1"/>
    </xf>
    <xf numFmtId="0" fontId="9" fillId="3" borderId="0" xfId="0" applyFont="1" applyFill="1" applyBorder="1" applyAlignment="1" applyProtection="1">
      <alignment horizontal="left" vertical="center" wrapText="1"/>
      <protection hidden="1"/>
    </xf>
    <xf numFmtId="0" fontId="9" fillId="2" borderId="59" xfId="0" applyFont="1" applyFill="1" applyBorder="1" applyAlignment="1" applyProtection="1">
      <alignment horizontal="center" vertical="center" wrapText="1"/>
      <protection hidden="1"/>
    </xf>
    <xf numFmtId="0" fontId="1" fillId="3" borderId="29" xfId="0" applyFont="1" applyFill="1" applyBorder="1" applyAlignment="1" applyProtection="1">
      <alignment horizontal="left" vertical="center" wrapText="1"/>
      <protection locked="0"/>
    </xf>
    <xf numFmtId="0" fontId="1" fillId="5" borderId="60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left" vertical="center" wrapText="1"/>
      <protection locked="0"/>
    </xf>
    <xf numFmtId="0" fontId="1" fillId="3" borderId="25" xfId="0" applyFont="1" applyFill="1" applyBorder="1" applyAlignment="1" applyProtection="1">
      <alignment horizontal="left" vertical="center" wrapText="1"/>
      <protection locked="0"/>
    </xf>
    <xf numFmtId="0" fontId="1" fillId="5" borderId="61" xfId="0" applyFont="1" applyFill="1" applyBorder="1" applyAlignment="1" applyProtection="1">
      <alignment horizontal="center" vertical="center" wrapText="1"/>
      <protection locked="0"/>
    </xf>
    <xf numFmtId="0" fontId="22" fillId="5" borderId="45" xfId="0" applyFont="1" applyFill="1" applyBorder="1" applyAlignment="1" applyProtection="1">
      <alignment horizontal="center" vertical="center" wrapText="1"/>
      <protection locked="0"/>
    </xf>
    <xf numFmtId="0" fontId="22" fillId="5" borderId="36" xfId="0" applyFont="1" applyFill="1" applyBorder="1" applyAlignment="1" applyProtection="1">
      <alignment horizontal="center" vertical="center" wrapText="1"/>
      <protection locked="0"/>
    </xf>
    <xf numFmtId="0" fontId="22" fillId="5" borderId="37" xfId="0" applyFont="1" applyFill="1" applyBorder="1" applyAlignment="1" applyProtection="1">
      <alignment horizontal="center" vertical="center" wrapText="1"/>
      <protection locked="0"/>
    </xf>
    <xf numFmtId="167" fontId="1" fillId="5" borderId="45" xfId="0" applyNumberFormat="1" applyFont="1" applyFill="1" applyBorder="1" applyAlignment="1" applyProtection="1">
      <alignment horizontal="center" vertical="center" wrapText="1"/>
      <protection locked="0"/>
    </xf>
    <xf numFmtId="167" fontId="1" fillId="5" borderId="36" xfId="0" applyNumberFormat="1" applyFont="1" applyFill="1" applyBorder="1" applyAlignment="1" applyProtection="1">
      <alignment horizontal="center" vertical="center" wrapText="1"/>
      <protection locked="0"/>
    </xf>
    <xf numFmtId="167" fontId="1" fillId="5" borderId="3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65" xfId="0" applyFont="1" applyFill="1" applyBorder="1" applyAlignment="1" applyProtection="1">
      <alignment horizontal="centerContinuous" vertical="center" wrapText="1"/>
      <protection hidden="1"/>
    </xf>
    <xf numFmtId="0" fontId="9" fillId="2" borderId="66" xfId="0" applyFont="1" applyFill="1" applyBorder="1" applyAlignment="1" applyProtection="1">
      <alignment horizontal="centerContinuous" vertical="center" wrapText="1"/>
      <protection hidden="1"/>
    </xf>
    <xf numFmtId="0" fontId="9" fillId="2" borderId="67" xfId="0" applyFont="1" applyFill="1" applyBorder="1" applyAlignment="1" applyProtection="1">
      <alignment horizontal="centerContinuous" vertical="center" wrapText="1"/>
      <protection hidden="1"/>
    </xf>
    <xf numFmtId="0" fontId="10" fillId="2" borderId="68" xfId="0" applyFont="1" applyFill="1" applyBorder="1" applyAlignment="1" applyProtection="1">
      <alignment horizontal="center" vertical="center" wrapText="1"/>
      <protection hidden="1"/>
    </xf>
    <xf numFmtId="167" fontId="13" fillId="0" borderId="69" xfId="0" applyNumberFormat="1" applyFont="1" applyBorder="1" applyAlignment="1" applyProtection="1">
      <alignment horizontal="center" vertical="center" wrapText="1"/>
      <protection hidden="1"/>
    </xf>
    <xf numFmtId="166" fontId="22" fillId="5" borderId="49" xfId="0" applyNumberFormat="1" applyFont="1" applyFill="1" applyBorder="1" applyAlignment="1" applyProtection="1">
      <alignment horizontal="left" vertical="center" wrapText="1"/>
      <protection locked="0"/>
    </xf>
    <xf numFmtId="3" fontId="2" fillId="0" borderId="19" xfId="0" applyNumberFormat="1" applyFont="1" applyBorder="1" applyAlignment="1" applyProtection="1">
      <alignment horizontal="center" vertical="center" wrapText="1"/>
      <protection hidden="1"/>
    </xf>
    <xf numFmtId="3" fontId="12" fillId="0" borderId="0" xfId="0" applyNumberFormat="1" applyFont="1" applyAlignment="1" applyProtection="1">
      <alignment wrapText="1"/>
      <protection hidden="1"/>
    </xf>
    <xf numFmtId="3" fontId="1" fillId="0" borderId="19" xfId="0" applyNumberFormat="1" applyFont="1" applyBorder="1" applyAlignment="1" applyProtection="1">
      <alignment horizontal="center" vertical="center" wrapText="1"/>
      <protection hidden="1"/>
    </xf>
    <xf numFmtId="3" fontId="22" fillId="0" borderId="19" xfId="0" applyNumberFormat="1" applyFont="1" applyBorder="1" applyAlignment="1" applyProtection="1">
      <alignment horizontal="right" vertical="center" wrapText="1"/>
      <protection hidden="1"/>
    </xf>
    <xf numFmtId="3" fontId="12" fillId="0" borderId="19" xfId="0" applyNumberFormat="1" applyFont="1" applyBorder="1" applyAlignment="1" applyProtection="1">
      <alignment wrapText="1"/>
      <protection hidden="1"/>
    </xf>
    <xf numFmtId="0" fontId="10" fillId="2" borderId="74" xfId="0" applyFont="1" applyFill="1" applyBorder="1" applyAlignment="1" applyProtection="1">
      <alignment horizontal="center" vertical="center" wrapText="1"/>
      <protection hidden="1"/>
    </xf>
    <xf numFmtId="165" fontId="29" fillId="3" borderId="40" xfId="2" applyNumberFormat="1" applyFont="1" applyFill="1" applyBorder="1" applyAlignment="1" applyProtection="1">
      <alignment horizontal="center" vertical="center" wrapText="1"/>
      <protection locked="0"/>
    </xf>
    <xf numFmtId="165" fontId="29" fillId="3" borderId="50" xfId="2" applyNumberFormat="1" applyFont="1" applyFill="1" applyBorder="1" applyAlignment="1" applyProtection="1">
      <alignment horizontal="center" vertical="center" wrapText="1"/>
      <protection locked="0"/>
    </xf>
    <xf numFmtId="0" fontId="22" fillId="5" borderId="52" xfId="0" applyFont="1" applyFill="1" applyBorder="1" applyAlignment="1" applyProtection="1">
      <alignment horizontal="center" vertical="center" wrapText="1"/>
      <protection locked="0"/>
    </xf>
    <xf numFmtId="0" fontId="22" fillId="5" borderId="31" xfId="0" applyFont="1" applyFill="1" applyBorder="1" applyAlignment="1" applyProtection="1">
      <alignment horizontal="center" vertical="center" wrapText="1"/>
      <protection locked="0"/>
    </xf>
    <xf numFmtId="0" fontId="22" fillId="5" borderId="13" xfId="0" applyFont="1" applyFill="1" applyBorder="1" applyAlignment="1" applyProtection="1">
      <alignment horizontal="center" vertical="center" wrapText="1"/>
      <protection locked="0"/>
    </xf>
    <xf numFmtId="167" fontId="22" fillId="5" borderId="45" xfId="0" applyNumberFormat="1" applyFont="1" applyFill="1" applyBorder="1" applyAlignment="1" applyProtection="1">
      <alignment horizontal="center" vertical="center" wrapText="1"/>
      <protection locked="0"/>
    </xf>
    <xf numFmtId="167" fontId="22" fillId="5" borderId="36" xfId="0" applyNumberFormat="1" applyFont="1" applyFill="1" applyBorder="1" applyAlignment="1" applyProtection="1">
      <alignment horizontal="center" vertical="center" wrapText="1"/>
      <protection locked="0"/>
    </xf>
    <xf numFmtId="167" fontId="22" fillId="5" borderId="37" xfId="0" applyNumberFormat="1" applyFont="1" applyFill="1" applyBorder="1" applyAlignment="1" applyProtection="1">
      <alignment horizontal="center" vertical="center" wrapText="1"/>
      <protection locked="0"/>
    </xf>
    <xf numFmtId="0" fontId="22" fillId="5" borderId="49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protection hidden="1"/>
    </xf>
    <xf numFmtId="164" fontId="0" fillId="0" borderId="0" xfId="91" applyNumberFormat="1" applyFont="1"/>
    <xf numFmtId="43" fontId="0" fillId="0" borderId="0" xfId="91" applyFont="1"/>
    <xf numFmtId="168" fontId="0" fillId="0" borderId="0" xfId="91" applyNumberFormat="1" applyFont="1"/>
    <xf numFmtId="169" fontId="0" fillId="0" borderId="0" xfId="0" applyNumberFormat="1"/>
    <xf numFmtId="43" fontId="0" fillId="0" borderId="0" xfId="0" applyNumberFormat="1"/>
    <xf numFmtId="0" fontId="0" fillId="2" borderId="47" xfId="0" applyFill="1" applyBorder="1" applyAlignment="1">
      <alignment horizontal="centerContinuous"/>
    </xf>
    <xf numFmtId="0" fontId="27" fillId="2" borderId="80" xfId="0" applyFont="1" applyFill="1" applyBorder="1"/>
    <xf numFmtId="0" fontId="27" fillId="3" borderId="0" xfId="0" applyFont="1" applyFill="1"/>
    <xf numFmtId="0" fontId="0" fillId="3" borderId="0" xfId="0" applyFill="1" applyAlignment="1">
      <alignment wrapText="1"/>
    </xf>
    <xf numFmtId="0" fontId="0" fillId="3" borderId="0" xfId="0" applyFill="1"/>
    <xf numFmtId="164" fontId="0" fillId="3" borderId="0" xfId="91" applyNumberFormat="1" applyFont="1" applyFill="1"/>
    <xf numFmtId="0" fontId="0" fillId="3" borderId="0" xfId="0" applyFill="1" applyAlignment="1">
      <alignment horizontal="left"/>
    </xf>
    <xf numFmtId="0" fontId="0" fillId="3" borderId="47" xfId="0" applyFill="1" applyBorder="1" applyAlignment="1">
      <alignment wrapText="1"/>
    </xf>
    <xf numFmtId="164" fontId="0" fillId="3" borderId="0" xfId="91" applyNumberFormat="1" applyFont="1" applyFill="1" applyBorder="1"/>
    <xf numFmtId="165" fontId="0" fillId="3" borderId="47" xfId="92" applyNumberFormat="1" applyFont="1" applyFill="1" applyBorder="1"/>
    <xf numFmtId="0" fontId="0" fillId="3" borderId="0" xfId="0" applyFont="1" applyFill="1"/>
    <xf numFmtId="0" fontId="27" fillId="2" borderId="81" xfId="0" applyFont="1" applyFill="1" applyBorder="1"/>
    <xf numFmtId="0" fontId="0" fillId="2" borderId="83" xfId="0" applyFill="1" applyBorder="1" applyAlignment="1">
      <alignment wrapText="1"/>
    </xf>
    <xf numFmtId="0" fontId="0" fillId="2" borderId="82" xfId="0" applyFill="1" applyBorder="1"/>
    <xf numFmtId="0" fontId="0" fillId="2" borderId="0" xfId="0" applyFill="1" applyBorder="1" applyAlignment="1">
      <alignment wrapText="1"/>
    </xf>
    <xf numFmtId="0" fontId="0" fillId="2" borderId="48" xfId="0" applyFill="1" applyBorder="1" applyAlignment="1">
      <alignment horizontal="centerContinuous"/>
    </xf>
    <xf numFmtId="0" fontId="0" fillId="2" borderId="14" xfId="0" applyFill="1" applyBorder="1"/>
    <xf numFmtId="0" fontId="0" fillId="2" borderId="14" xfId="0" applyFill="1" applyBorder="1" applyAlignment="1">
      <alignment horizontal="left"/>
    </xf>
    <xf numFmtId="0" fontId="0" fillId="2" borderId="15" xfId="0" applyFill="1" applyBorder="1"/>
    <xf numFmtId="0" fontId="0" fillId="2" borderId="16" xfId="0" applyFill="1" applyBorder="1" applyAlignment="1">
      <alignment wrapText="1"/>
    </xf>
    <xf numFmtId="0" fontId="0" fillId="2" borderId="16" xfId="0" applyFill="1" applyBorder="1"/>
    <xf numFmtId="164" fontId="0" fillId="0" borderId="16" xfId="91" applyNumberFormat="1" applyFont="1" applyBorder="1"/>
    <xf numFmtId="164" fontId="0" fillId="0" borderId="16" xfId="0" applyNumberFormat="1" applyBorder="1"/>
    <xf numFmtId="164" fontId="0" fillId="2" borderId="16" xfId="91" applyNumberFormat="1" applyFont="1" applyFill="1" applyBorder="1"/>
    <xf numFmtId="164" fontId="0" fillId="0" borderId="17" xfId="91" applyNumberFormat="1" applyFont="1" applyBorder="1"/>
    <xf numFmtId="0" fontId="0" fillId="2" borderId="18" xfId="0" applyFill="1" applyBorder="1"/>
    <xf numFmtId="0" fontId="0" fillId="2" borderId="19" xfId="0" applyFill="1" applyBorder="1" applyAlignment="1">
      <alignment wrapText="1"/>
    </xf>
    <xf numFmtId="0" fontId="0" fillId="2" borderId="19" xfId="0" applyFill="1" applyBorder="1"/>
    <xf numFmtId="164" fontId="0" fillId="0" borderId="19" xfId="91" applyNumberFormat="1" applyFont="1" applyBorder="1"/>
    <xf numFmtId="164" fontId="0" fillId="0" borderId="19" xfId="0" applyNumberFormat="1" applyBorder="1"/>
    <xf numFmtId="164" fontId="0" fillId="2" borderId="19" xfId="91" applyNumberFormat="1" applyFont="1" applyFill="1" applyBorder="1"/>
    <xf numFmtId="164" fontId="0" fillId="0" borderId="20" xfId="91" applyNumberFormat="1" applyFont="1" applyBorder="1"/>
    <xf numFmtId="0" fontId="0" fillId="2" borderId="21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/>
    <xf numFmtId="164" fontId="0" fillId="0" borderId="22" xfId="91" applyNumberFormat="1" applyFont="1" applyBorder="1"/>
    <xf numFmtId="164" fontId="0" fillId="2" borderId="22" xfId="91" applyNumberFormat="1" applyFont="1" applyFill="1" applyBorder="1"/>
    <xf numFmtId="164" fontId="0" fillId="0" borderId="23" xfId="91" applyNumberFormat="1" applyFont="1" applyBorder="1"/>
    <xf numFmtId="0" fontId="20" fillId="3" borderId="0" xfId="93" applyFill="1"/>
    <xf numFmtId="0" fontId="0" fillId="2" borderId="84" xfId="0" applyFill="1" applyBorder="1"/>
    <xf numFmtId="164" fontId="0" fillId="0" borderId="57" xfId="91" applyNumberFormat="1" applyFont="1" applyBorder="1"/>
    <xf numFmtId="0" fontId="0" fillId="2" borderId="85" xfId="0" applyFill="1" applyBorder="1"/>
    <xf numFmtId="164" fontId="0" fillId="0" borderId="22" xfId="0" applyNumberFormat="1" applyBorder="1"/>
    <xf numFmtId="164" fontId="0" fillId="0" borderId="86" xfId="91" applyNumberFormat="1" applyFont="1" applyBorder="1"/>
    <xf numFmtId="0" fontId="27" fillId="2" borderId="88" xfId="0" applyFont="1" applyFill="1" applyBorder="1"/>
    <xf numFmtId="0" fontId="0" fillId="2" borderId="89" xfId="0" applyFill="1" applyBorder="1"/>
    <xf numFmtId="0" fontId="0" fillId="2" borderId="10" xfId="0" applyFill="1" applyBorder="1" applyAlignment="1">
      <alignment wrapText="1"/>
    </xf>
    <xf numFmtId="0" fontId="0" fillId="2" borderId="64" xfId="0" applyFill="1" applyBorder="1"/>
    <xf numFmtId="0" fontId="0" fillId="2" borderId="64" xfId="0" applyFill="1" applyBorder="1" applyAlignment="1">
      <alignment wrapText="1"/>
    </xf>
    <xf numFmtId="164" fontId="27" fillId="2" borderId="81" xfId="91" applyNumberFormat="1" applyFont="1" applyFill="1" applyBorder="1"/>
    <xf numFmtId="164" fontId="27" fillId="2" borderId="83" xfId="91" applyNumberFormat="1" applyFont="1" applyFill="1" applyBorder="1"/>
    <xf numFmtId="0" fontId="27" fillId="2" borderId="83" xfId="0" applyFont="1" applyFill="1" applyBorder="1"/>
    <xf numFmtId="164" fontId="0" fillId="2" borderId="1" xfId="91" applyNumberFormat="1" applyFont="1" applyFill="1" applyBorder="1" applyAlignment="1">
      <alignment horizontal="centerContinuous"/>
    </xf>
    <xf numFmtId="0" fontId="0" fillId="2" borderId="1" xfId="0" applyFill="1" applyBorder="1" applyAlignment="1">
      <alignment horizontal="centerContinuous"/>
    </xf>
    <xf numFmtId="164" fontId="0" fillId="2" borderId="1" xfId="91" applyNumberFormat="1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7" fillId="2" borderId="48" xfId="0" applyFont="1" applyFill="1" applyBorder="1" applyAlignment="1">
      <alignment horizontal="centerContinuous"/>
    </xf>
    <xf numFmtId="0" fontId="27" fillId="2" borderId="47" xfId="0" applyFont="1" applyFill="1" applyBorder="1" applyAlignment="1">
      <alignment horizontal="centerContinuous"/>
    </xf>
    <xf numFmtId="0" fontId="0" fillId="2" borderId="78" xfId="0" applyFill="1" applyBorder="1"/>
    <xf numFmtId="0" fontId="0" fillId="2" borderId="73" xfId="0" applyFill="1" applyBorder="1" applyAlignment="1">
      <alignment wrapText="1"/>
    </xf>
    <xf numFmtId="164" fontId="0" fillId="0" borderId="73" xfId="91" applyNumberFormat="1" applyFont="1" applyBorder="1"/>
    <xf numFmtId="0" fontId="0" fillId="2" borderId="73" xfId="0" applyFill="1" applyBorder="1"/>
    <xf numFmtId="164" fontId="0" fillId="2" borderId="73" xfId="91" applyNumberFormat="1" applyFont="1" applyFill="1" applyBorder="1"/>
    <xf numFmtId="164" fontId="0" fillId="0" borderId="91" xfId="91" applyNumberFormat="1" applyFont="1" applyBorder="1"/>
    <xf numFmtId="0" fontId="33" fillId="3" borderId="0" xfId="0" applyFont="1" applyFill="1"/>
    <xf numFmtId="0" fontId="0" fillId="2" borderId="12" xfId="0" applyFill="1" applyBorder="1" applyAlignment="1">
      <alignment vertical="center" wrapText="1"/>
    </xf>
    <xf numFmtId="164" fontId="0" fillId="2" borderId="12" xfId="91" applyNumberFormat="1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88" xfId="0" applyFill="1" applyBorder="1" applyAlignment="1">
      <alignment horizontal="centerContinuous" vertical="center"/>
    </xf>
    <xf numFmtId="0" fontId="0" fillId="2" borderId="93" xfId="0" applyFill="1" applyBorder="1" applyAlignment="1">
      <alignment horizontal="centerContinuous"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horizontal="centerContinuous" vertical="center"/>
    </xf>
    <xf numFmtId="0" fontId="0" fillId="2" borderId="40" xfId="0" applyFill="1" applyBorder="1" applyAlignment="1">
      <alignment horizontal="centerContinuous" vertical="center"/>
    </xf>
    <xf numFmtId="0" fontId="0" fillId="3" borderId="35" xfId="0" applyFill="1" applyBorder="1"/>
    <xf numFmtId="0" fontId="0" fillId="3" borderId="36" xfId="0" applyFill="1" applyBorder="1"/>
    <xf numFmtId="0" fontId="0" fillId="2" borderId="94" xfId="0" applyFill="1" applyBorder="1" applyAlignment="1">
      <alignment horizontal="centerContinuous" vertical="center"/>
    </xf>
    <xf numFmtId="2" fontId="0" fillId="3" borderId="15" xfId="0" applyNumberForma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2" fontId="0" fillId="3" borderId="18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3" fontId="0" fillId="3" borderId="15" xfId="0" applyNumberFormat="1" applyFill="1" applyBorder="1" applyAlignment="1">
      <alignment horizontal="center"/>
    </xf>
    <xf numFmtId="3" fontId="0" fillId="3" borderId="18" xfId="0" applyNumberFormat="1" applyFill="1" applyBorder="1" applyAlignment="1">
      <alignment horizontal="center"/>
    </xf>
    <xf numFmtId="3" fontId="0" fillId="3" borderId="26" xfId="0" applyNumberFormat="1" applyFill="1" applyBorder="1" applyAlignment="1">
      <alignment horizontal="center"/>
    </xf>
    <xf numFmtId="3" fontId="0" fillId="3" borderId="27" xfId="0" applyNumberFormat="1" applyFill="1" applyBorder="1" applyAlignment="1">
      <alignment horizontal="center"/>
    </xf>
    <xf numFmtId="0" fontId="6" fillId="3" borderId="0" xfId="0" applyFont="1" applyFill="1" applyBorder="1" applyAlignment="1" applyProtection="1">
      <alignment horizontal="left" vertical="center"/>
      <protection hidden="1"/>
    </xf>
    <xf numFmtId="0" fontId="1" fillId="0" borderId="0" xfId="0" quotePrefix="1" applyFont="1" applyFill="1" applyAlignment="1" applyProtection="1">
      <alignment wrapText="1"/>
      <protection hidden="1"/>
    </xf>
    <xf numFmtId="0" fontId="0" fillId="2" borderId="90" xfId="0" applyFill="1" applyBorder="1" applyAlignment="1">
      <alignment horizontal="center" wrapText="1"/>
    </xf>
    <xf numFmtId="0" fontId="0" fillId="2" borderId="87" xfId="0" applyFill="1" applyBorder="1" applyAlignment="1">
      <alignment horizontal="center" wrapText="1"/>
    </xf>
    <xf numFmtId="3" fontId="0" fillId="3" borderId="25" xfId="0" applyNumberFormat="1" applyFill="1" applyBorder="1" applyAlignment="1">
      <alignment horizontal="center"/>
    </xf>
    <xf numFmtId="3" fontId="0" fillId="3" borderId="97" xfId="0" applyNumberFormat="1" applyFill="1" applyBorder="1" applyAlignment="1">
      <alignment horizontal="center"/>
    </xf>
    <xf numFmtId="0" fontId="0" fillId="3" borderId="37" xfId="0" applyFill="1" applyBorder="1"/>
    <xf numFmtId="2" fontId="0" fillId="3" borderId="25" xfId="0" applyNumberFormat="1" applyFill="1" applyBorder="1" applyAlignment="1">
      <alignment horizontal="center"/>
    </xf>
    <xf numFmtId="0" fontId="0" fillId="3" borderId="101" xfId="0" applyFill="1" applyBorder="1" applyAlignment="1">
      <alignment horizontal="center"/>
    </xf>
    <xf numFmtId="3" fontId="27" fillId="3" borderId="103" xfId="0" applyNumberFormat="1" applyFont="1" applyFill="1" applyBorder="1" applyAlignment="1">
      <alignment horizontal="center" vertical="center"/>
    </xf>
    <xf numFmtId="3" fontId="27" fillId="3" borderId="104" xfId="0" applyNumberFormat="1" applyFont="1" applyFill="1" applyBorder="1" applyAlignment="1">
      <alignment horizontal="center" vertical="center"/>
    </xf>
    <xf numFmtId="0" fontId="27" fillId="3" borderId="105" xfId="0" applyFont="1" applyFill="1" applyBorder="1" applyAlignment="1">
      <alignment vertical="center"/>
    </xf>
    <xf numFmtId="0" fontId="36" fillId="2" borderId="88" xfId="0" applyFont="1" applyFill="1" applyBorder="1" applyAlignment="1">
      <alignment vertical="center"/>
    </xf>
    <xf numFmtId="0" fontId="36" fillId="2" borderId="64" xfId="0" applyFont="1" applyFill="1" applyBorder="1" applyAlignment="1">
      <alignment vertical="center"/>
    </xf>
    <xf numFmtId="0" fontId="36" fillId="2" borderId="96" xfId="0" applyFont="1" applyFill="1" applyBorder="1"/>
    <xf numFmtId="0" fontId="36" fillId="2" borderId="70" xfId="0" applyFont="1" applyFill="1" applyBorder="1"/>
    <xf numFmtId="0" fontId="36" fillId="2" borderId="100" xfId="0" applyFont="1" applyFill="1" applyBorder="1"/>
    <xf numFmtId="0" fontId="36" fillId="2" borderId="80" xfId="0" applyFont="1" applyFill="1" applyBorder="1" applyAlignment="1">
      <alignment vertical="center"/>
    </xf>
    <xf numFmtId="0" fontId="37" fillId="2" borderId="102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49" fontId="11" fillId="3" borderId="0" xfId="0" applyNumberFormat="1" applyFont="1" applyFill="1" applyAlignment="1">
      <alignment vertical="center"/>
    </xf>
    <xf numFmtId="49" fontId="38" fillId="3" borderId="0" xfId="0" applyNumberFormat="1" applyFont="1" applyFill="1" applyAlignment="1">
      <alignment vertical="center"/>
    </xf>
    <xf numFmtId="0" fontId="6" fillId="3" borderId="5" xfId="0" applyFont="1" applyFill="1" applyBorder="1" applyAlignment="1">
      <alignment vertical="center"/>
    </xf>
    <xf numFmtId="0" fontId="39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vertical="top" wrapText="1"/>
    </xf>
    <xf numFmtId="0" fontId="6" fillId="5" borderId="12" xfId="0" applyFont="1" applyFill="1" applyBorder="1" applyAlignment="1">
      <alignment vertical="center"/>
    </xf>
    <xf numFmtId="49" fontId="40" fillId="5" borderId="12" xfId="0" applyNumberFormat="1" applyFont="1" applyFill="1" applyBorder="1" applyAlignment="1">
      <alignment vertical="top"/>
    </xf>
    <xf numFmtId="49" fontId="40" fillId="5" borderId="12" xfId="0" applyNumberFormat="1" applyFont="1" applyFill="1" applyBorder="1" applyAlignment="1">
      <alignment vertical="top" wrapText="1"/>
    </xf>
    <xf numFmtId="49" fontId="41" fillId="5" borderId="12" xfId="0" applyNumberFormat="1" applyFont="1" applyFill="1" applyBorder="1" applyAlignment="1">
      <alignment vertical="top" wrapText="1"/>
    </xf>
    <xf numFmtId="0" fontId="7" fillId="3" borderId="7" xfId="0" applyFont="1" applyFill="1" applyBorder="1"/>
    <xf numFmtId="0" fontId="11" fillId="5" borderId="0" xfId="0" applyFont="1" applyFill="1" applyAlignment="1">
      <alignment horizontal="left" vertical="top" wrapText="1"/>
    </xf>
    <xf numFmtId="0" fontId="6" fillId="5" borderId="0" xfId="0" applyFont="1" applyFill="1"/>
    <xf numFmtId="0" fontId="43" fillId="5" borderId="0" xfId="0" applyFont="1" applyFill="1" applyAlignment="1">
      <alignment vertical="center" wrapText="1"/>
    </xf>
    <xf numFmtId="165" fontId="23" fillId="3" borderId="1" xfId="2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>
      <alignment vertical="center"/>
    </xf>
    <xf numFmtId="49" fontId="40" fillId="3" borderId="10" xfId="0" applyNumberFormat="1" applyFont="1" applyFill="1" applyBorder="1" applyAlignment="1">
      <alignment vertical="top"/>
    </xf>
    <xf numFmtId="49" fontId="40" fillId="3" borderId="10" xfId="0" applyNumberFormat="1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center"/>
    </xf>
    <xf numFmtId="49" fontId="41" fillId="3" borderId="10" xfId="0" applyNumberFormat="1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/>
    </xf>
    <xf numFmtId="49" fontId="40" fillId="5" borderId="0" xfId="0" applyNumberFormat="1" applyFont="1" applyFill="1" applyAlignment="1">
      <alignment horizontal="left" vertical="top" wrapText="1"/>
    </xf>
    <xf numFmtId="9" fontId="0" fillId="0" borderId="0" xfId="0" applyNumberFormat="1"/>
    <xf numFmtId="0" fontId="29" fillId="3" borderId="0" xfId="0" applyFont="1" applyFill="1" applyAlignment="1" applyProtection="1">
      <protection hidden="1"/>
    </xf>
    <xf numFmtId="0" fontId="12" fillId="3" borderId="0" xfId="0" applyFont="1" applyFill="1" applyAlignment="1" applyProtection="1">
      <alignment wrapText="1"/>
      <protection hidden="1"/>
    </xf>
    <xf numFmtId="0" fontId="1" fillId="3" borderId="0" xfId="0" applyFont="1" applyFill="1" applyAlignment="1" applyProtection="1">
      <protection hidden="1"/>
    </xf>
    <xf numFmtId="0" fontId="13" fillId="3" borderId="0" xfId="0" applyFont="1" applyFill="1" applyAlignment="1" applyProtection="1">
      <protection hidden="1"/>
    </xf>
    <xf numFmtId="0" fontId="1" fillId="3" borderId="0" xfId="0" quotePrefix="1" applyFont="1" applyFill="1" applyAlignment="1" applyProtection="1">
      <protection hidden="1"/>
    </xf>
    <xf numFmtId="0" fontId="1" fillId="3" borderId="0" xfId="0" applyFont="1" applyFill="1" applyAlignment="1" applyProtection="1">
      <alignment wrapText="1"/>
      <protection hidden="1"/>
    </xf>
    <xf numFmtId="0" fontId="1" fillId="3" borderId="0" xfId="0" quotePrefix="1" applyFont="1" applyFill="1" applyAlignment="1" applyProtection="1">
      <alignment horizontal="left"/>
      <protection hidden="1"/>
    </xf>
    <xf numFmtId="0" fontId="20" fillId="3" borderId="0" xfId="93" quotePrefix="1" applyFill="1" applyAlignment="1" applyProtection="1">
      <protection hidden="1"/>
    </xf>
    <xf numFmtId="0" fontId="12" fillId="3" borderId="0" xfId="0" applyFont="1" applyFill="1" applyAlignment="1" applyProtection="1">
      <protection hidden="1"/>
    </xf>
    <xf numFmtId="170" fontId="0" fillId="0" borderId="0" xfId="0" applyNumberFormat="1"/>
    <xf numFmtId="170" fontId="44" fillId="7" borderId="0" xfId="0" applyNumberFormat="1" applyFont="1" applyFill="1"/>
    <xf numFmtId="165" fontId="44" fillId="7" borderId="0" xfId="0" applyNumberFormat="1" applyFont="1" applyFill="1"/>
    <xf numFmtId="0" fontId="29" fillId="4" borderId="6" xfId="0" applyFont="1" applyFill="1" applyBorder="1" applyAlignment="1" applyProtection="1">
      <alignment horizontal="left" vertical="center"/>
      <protection hidden="1"/>
    </xf>
    <xf numFmtId="0" fontId="45" fillId="4" borderId="7" xfId="0" applyFont="1" applyFill="1" applyBorder="1" applyAlignment="1" applyProtection="1">
      <alignment horizontal="left" vertical="center" wrapText="1"/>
      <protection hidden="1"/>
    </xf>
    <xf numFmtId="0" fontId="29" fillId="3" borderId="3" xfId="0" applyFont="1" applyFill="1" applyBorder="1" applyAlignment="1" applyProtection="1">
      <alignment horizontal="left" vertical="center" wrapText="1"/>
      <protection hidden="1"/>
    </xf>
    <xf numFmtId="167" fontId="29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29" fillId="3" borderId="12" xfId="0" applyFont="1" applyFill="1" applyBorder="1" applyAlignment="1" applyProtection="1">
      <alignment horizontal="center" vertical="center" wrapText="1"/>
      <protection hidden="1"/>
    </xf>
    <xf numFmtId="165" fontId="45" fillId="3" borderId="78" xfId="2" applyNumberFormat="1" applyFont="1" applyFill="1" applyBorder="1" applyAlignment="1" applyProtection="1">
      <alignment horizontal="center" vertical="center" wrapText="1"/>
      <protection locked="0"/>
    </xf>
    <xf numFmtId="165" fontId="45" fillId="3" borderId="62" xfId="2" applyNumberFormat="1" applyFont="1" applyFill="1" applyBorder="1" applyAlignment="1" applyProtection="1">
      <alignment horizontal="center" vertical="center" wrapText="1"/>
      <protection locked="0"/>
    </xf>
    <xf numFmtId="165" fontId="45" fillId="3" borderId="12" xfId="2" applyNumberFormat="1" applyFont="1" applyFill="1" applyBorder="1" applyAlignment="1" applyProtection="1">
      <alignment horizontal="center" vertical="center" wrapText="1"/>
      <protection locked="0"/>
    </xf>
    <xf numFmtId="0" fontId="29" fillId="4" borderId="55" xfId="0" applyFont="1" applyFill="1" applyBorder="1" applyAlignment="1" applyProtection="1">
      <alignment horizontal="left" vertical="center"/>
      <protection hidden="1"/>
    </xf>
    <xf numFmtId="0" fontId="45" fillId="4" borderId="71" xfId="0" applyFont="1" applyFill="1" applyBorder="1" applyAlignment="1" applyProtection="1">
      <alignment horizontal="left" vertical="center" wrapText="1"/>
      <protection hidden="1"/>
    </xf>
    <xf numFmtId="167" fontId="29" fillId="3" borderId="71" xfId="0" applyNumberFormat="1" applyFont="1" applyFill="1" applyBorder="1" applyAlignment="1" applyProtection="1">
      <alignment horizontal="center" vertical="center" wrapText="1"/>
      <protection hidden="1"/>
    </xf>
    <xf numFmtId="0" fontId="29" fillId="3" borderId="71" xfId="0" applyFont="1" applyFill="1" applyBorder="1" applyAlignment="1" applyProtection="1">
      <alignment horizontal="center" vertical="center" wrapText="1"/>
      <protection hidden="1"/>
    </xf>
    <xf numFmtId="165" fontId="45" fillId="3" borderId="79" xfId="2" applyNumberFormat="1" applyFont="1" applyFill="1" applyBorder="1" applyAlignment="1" applyProtection="1">
      <alignment horizontal="center" vertical="center" wrapText="1"/>
      <protection locked="0"/>
    </xf>
    <xf numFmtId="165" fontId="45" fillId="3" borderId="72" xfId="2" applyNumberFormat="1" applyFont="1" applyFill="1" applyBorder="1" applyAlignment="1" applyProtection="1">
      <alignment horizontal="center" vertical="center" wrapText="1"/>
      <protection locked="0"/>
    </xf>
    <xf numFmtId="165" fontId="45" fillId="3" borderId="71" xfId="2" applyNumberFormat="1" applyFont="1" applyFill="1" applyBorder="1" applyAlignment="1" applyProtection="1">
      <alignment horizontal="center" vertical="center" wrapText="1"/>
      <protection locked="0"/>
    </xf>
    <xf numFmtId="0" fontId="29" fillId="2" borderId="107" xfId="0" applyFont="1" applyFill="1" applyBorder="1" applyAlignment="1" applyProtection="1">
      <alignment horizontal="left" vertical="center"/>
      <protection hidden="1"/>
    </xf>
    <xf numFmtId="0" fontId="45" fillId="2" borderId="80" xfId="0" applyFont="1" applyFill="1" applyBorder="1" applyAlignment="1" applyProtection="1">
      <alignment horizontal="left" vertical="center" wrapText="1"/>
      <protection hidden="1"/>
    </xf>
    <xf numFmtId="170" fontId="29" fillId="2" borderId="80" xfId="0" applyNumberFormat="1" applyFont="1" applyFill="1" applyBorder="1" applyAlignment="1" applyProtection="1">
      <alignment horizontal="right" vertical="center" wrapText="1" indent="2"/>
      <protection hidden="1"/>
    </xf>
    <xf numFmtId="0" fontId="29" fillId="2" borderId="80" xfId="0" applyFont="1" applyFill="1" applyBorder="1" applyAlignment="1" applyProtection="1">
      <alignment horizontal="left" vertical="center" wrapText="1"/>
      <protection hidden="1"/>
    </xf>
    <xf numFmtId="167" fontId="29" fillId="2" borderId="80" xfId="0" applyNumberFormat="1" applyFont="1" applyFill="1" applyBorder="1" applyAlignment="1" applyProtection="1">
      <alignment horizontal="center" vertical="center" wrapText="1"/>
      <protection hidden="1"/>
    </xf>
    <xf numFmtId="0" fontId="29" fillId="2" borderId="80" xfId="0" applyFont="1" applyFill="1" applyBorder="1" applyAlignment="1" applyProtection="1">
      <alignment horizontal="center" vertical="center" wrapText="1"/>
      <protection hidden="1"/>
    </xf>
    <xf numFmtId="165" fontId="45" fillId="2" borderId="80" xfId="2" applyNumberFormat="1" applyFont="1" applyFill="1" applyBorder="1" applyAlignment="1" applyProtection="1">
      <alignment horizontal="center" vertical="center" wrapText="1"/>
      <protection locked="0"/>
    </xf>
    <xf numFmtId="165" fontId="29" fillId="2" borderId="48" xfId="2" applyNumberFormat="1" applyFont="1" applyFill="1" applyBorder="1" applyAlignment="1" applyProtection="1">
      <alignment horizontal="center" vertical="center" wrapText="1"/>
      <protection locked="0"/>
    </xf>
    <xf numFmtId="0" fontId="45" fillId="2" borderId="0" xfId="0" applyFont="1" applyFill="1" applyBorder="1" applyAlignment="1" applyProtection="1">
      <alignment horizontal="left" vertical="center" wrapText="1"/>
      <protection hidden="1"/>
    </xf>
    <xf numFmtId="0" fontId="45" fillId="4" borderId="14" xfId="0" applyFont="1" applyFill="1" applyBorder="1" applyAlignment="1" applyProtection="1">
      <alignment horizontal="left" vertical="center" wrapText="1"/>
      <protection hidden="1"/>
    </xf>
    <xf numFmtId="0" fontId="45" fillId="4" borderId="108" xfId="0" applyFont="1" applyFill="1" applyBorder="1" applyAlignment="1" applyProtection="1">
      <alignment horizontal="left" vertical="center" wrapText="1"/>
      <protection hidden="1"/>
    </xf>
    <xf numFmtId="0" fontId="45" fillId="2" borderId="46" xfId="0" applyFont="1" applyFill="1" applyBorder="1" applyAlignment="1" applyProtection="1">
      <alignment horizontal="left" vertical="center" wrapText="1"/>
      <protection hidden="1"/>
    </xf>
    <xf numFmtId="170" fontId="29" fillId="3" borderId="2" xfId="0" applyNumberFormat="1" applyFont="1" applyFill="1" applyBorder="1" applyAlignment="1" applyProtection="1">
      <alignment horizontal="right" vertical="center" wrapText="1"/>
      <protection hidden="1"/>
    </xf>
    <xf numFmtId="170" fontId="29" fillId="2" borderId="80" xfId="0" applyNumberFormat="1" applyFont="1" applyFill="1" applyBorder="1" applyAlignment="1" applyProtection="1">
      <alignment horizontal="right" vertical="center" wrapText="1"/>
      <protection hidden="1"/>
    </xf>
    <xf numFmtId="1" fontId="29" fillId="3" borderId="55" xfId="0" applyNumberFormat="1" applyFont="1" applyFill="1" applyBorder="1" applyAlignment="1" applyProtection="1">
      <alignment horizontal="right" vertical="center" wrapText="1" indent="1"/>
      <protection hidden="1"/>
    </xf>
    <xf numFmtId="0" fontId="7" fillId="3" borderId="0" xfId="0" applyFont="1" applyFill="1" applyBorder="1"/>
    <xf numFmtId="0" fontId="6" fillId="3" borderId="0" xfId="0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42" fillId="3" borderId="0" xfId="0" applyFont="1" applyFill="1" applyBorder="1"/>
    <xf numFmtId="49" fontId="6" fillId="3" borderId="0" xfId="0" applyNumberFormat="1" applyFont="1" applyFill="1" applyBorder="1" applyAlignment="1">
      <alignment vertical="center"/>
    </xf>
    <xf numFmtId="49" fontId="6" fillId="3" borderId="0" xfId="0" applyNumberFormat="1" applyFont="1" applyFill="1" applyBorder="1" applyAlignment="1">
      <alignment vertical="top"/>
    </xf>
    <xf numFmtId="44" fontId="6" fillId="3" borderId="0" xfId="0" applyNumberFormat="1" applyFont="1" applyFill="1" applyBorder="1" applyAlignment="1">
      <alignment vertical="center" wrapText="1"/>
    </xf>
    <xf numFmtId="165" fontId="23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23" fillId="3" borderId="1" xfId="0" applyFont="1" applyFill="1" applyBorder="1" applyAlignment="1" applyProtection="1">
      <alignment horizontal="center" vertical="center" wrapText="1"/>
      <protection locked="0" hidden="1"/>
    </xf>
    <xf numFmtId="0" fontId="23" fillId="3" borderId="1" xfId="0" applyFont="1" applyFill="1" applyBorder="1" applyAlignment="1" applyProtection="1">
      <alignment vertical="center" wrapText="1"/>
      <protection locked="0" hidden="1"/>
    </xf>
    <xf numFmtId="0" fontId="23" fillId="5" borderId="1" xfId="0" applyFont="1" applyFill="1" applyBorder="1" applyAlignment="1" applyProtection="1">
      <alignment horizontal="center" vertical="center" wrapText="1"/>
      <protection locked="0" hidden="1"/>
    </xf>
    <xf numFmtId="0" fontId="13" fillId="5" borderId="39" xfId="0" applyFont="1" applyFill="1" applyBorder="1" applyAlignment="1" applyProtection="1">
      <alignment horizontal="center" vertical="center" wrapText="1"/>
      <protection locked="0"/>
    </xf>
    <xf numFmtId="0" fontId="9" fillId="2" borderId="109" xfId="0" applyFont="1" applyFill="1" applyBorder="1" applyAlignment="1" applyProtection="1">
      <alignment horizontal="center" vertical="center" wrapText="1"/>
      <protection locked="0" hidden="1"/>
    </xf>
    <xf numFmtId="0" fontId="9" fillId="2" borderId="112" xfId="0" applyFont="1" applyFill="1" applyBorder="1" applyAlignment="1" applyProtection="1">
      <alignment horizontal="center" vertical="center" wrapText="1"/>
      <protection locked="0" hidden="1"/>
    </xf>
    <xf numFmtId="0" fontId="9" fillId="2" borderId="113" xfId="0" applyFont="1" applyFill="1" applyBorder="1" applyAlignment="1" applyProtection="1">
      <alignment horizontal="center" vertical="center" wrapText="1"/>
      <protection locked="0" hidden="1"/>
    </xf>
    <xf numFmtId="10" fontId="0" fillId="0" borderId="0" xfId="2" applyNumberFormat="1" applyFont="1"/>
    <xf numFmtId="10" fontId="44" fillId="7" borderId="0" xfId="0" applyNumberFormat="1" applyFont="1" applyFill="1"/>
    <xf numFmtId="10" fontId="0" fillId="0" borderId="0" xfId="0" applyNumberFormat="1"/>
    <xf numFmtId="49" fontId="7" fillId="3" borderId="0" xfId="0" applyNumberFormat="1" applyFont="1" applyFill="1" applyBorder="1" applyAlignment="1">
      <alignment vertical="center"/>
    </xf>
    <xf numFmtId="165" fontId="23" fillId="3" borderId="0" xfId="2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>
      <alignment vertical="center"/>
    </xf>
    <xf numFmtId="165" fontId="23" fillId="3" borderId="3" xfId="2" applyNumberFormat="1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 wrapText="1"/>
      <protection hidden="1"/>
    </xf>
    <xf numFmtId="0" fontId="6" fillId="3" borderId="0" xfId="5" applyNumberFormat="1" applyFont="1" applyFill="1" applyBorder="1" applyAlignment="1" applyProtection="1">
      <alignment horizontal="left" vertical="center" wrapText="1"/>
      <protection hidden="1"/>
    </xf>
    <xf numFmtId="0" fontId="16" fillId="3" borderId="0" xfId="0" applyFont="1" applyFill="1" applyBorder="1" applyAlignment="1" applyProtection="1">
      <alignment horizontal="left" vertical="center" wrapText="1"/>
      <protection hidden="1"/>
    </xf>
    <xf numFmtId="0" fontId="9" fillId="2" borderId="41" xfId="0" applyFont="1" applyFill="1" applyBorder="1" applyAlignment="1" applyProtection="1">
      <alignment horizontal="center" vertical="center" wrapText="1"/>
      <protection hidden="1"/>
    </xf>
    <xf numFmtId="0" fontId="0" fillId="0" borderId="42" xfId="0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9" fillId="2" borderId="43" xfId="0" applyFont="1" applyFill="1" applyBorder="1" applyAlignment="1" applyProtection="1">
      <alignment horizontal="center" vertical="center" wrapText="1"/>
      <protection hidden="1"/>
    </xf>
    <xf numFmtId="0" fontId="0" fillId="0" borderId="44" xfId="0" applyBorder="1" applyAlignment="1">
      <alignment vertical="center" wrapText="1"/>
    </xf>
    <xf numFmtId="0" fontId="9" fillId="2" borderId="15" xfId="0" applyFont="1" applyFill="1" applyBorder="1" applyAlignment="1" applyProtection="1">
      <alignment horizontal="center" vertical="center" wrapText="1"/>
      <protection hidden="1"/>
    </xf>
    <xf numFmtId="0" fontId="9" fillId="2" borderId="21" xfId="0" applyFont="1" applyFill="1" applyBorder="1" applyAlignment="1" applyProtection="1">
      <alignment horizontal="center" vertical="center" wrapText="1"/>
      <protection hidden="1"/>
    </xf>
    <xf numFmtId="0" fontId="0" fillId="2" borderId="42" xfId="0" applyFill="1" applyBorder="1" applyAlignment="1">
      <alignment horizontal="center" vertical="center" wrapText="1"/>
    </xf>
    <xf numFmtId="0" fontId="0" fillId="5" borderId="34" xfId="0" applyFont="1" applyFill="1" applyBorder="1" applyAlignment="1" applyProtection="1">
      <protection locked="0"/>
    </xf>
    <xf numFmtId="0" fontId="0" fillId="5" borderId="31" xfId="0" applyFont="1" applyFill="1" applyBorder="1" applyAlignment="1" applyProtection="1">
      <protection locked="0"/>
    </xf>
    <xf numFmtId="167" fontId="0" fillId="3" borderId="97" xfId="0" applyNumberFormat="1" applyFill="1" applyBorder="1" applyAlignment="1">
      <alignment horizontal="center"/>
    </xf>
    <xf numFmtId="167" fontId="0" fillId="0" borderId="98" xfId="0" applyNumberFormat="1" applyBorder="1" applyAlignment="1">
      <alignment horizontal="center"/>
    </xf>
    <xf numFmtId="167" fontId="27" fillId="3" borderId="104" xfId="0" applyNumberFormat="1" applyFont="1" applyFill="1" applyBorder="1" applyAlignment="1">
      <alignment horizontal="center" vertical="center"/>
    </xf>
    <xf numFmtId="167" fontId="27" fillId="0" borderId="106" xfId="0" applyNumberFormat="1" applyFont="1" applyBorder="1" applyAlignment="1">
      <alignment horizontal="center" vertical="center"/>
    </xf>
    <xf numFmtId="167" fontId="0" fillId="3" borderId="26" xfId="0" applyNumberFormat="1" applyFill="1" applyBorder="1" applyAlignment="1">
      <alignment horizontal="center"/>
    </xf>
    <xf numFmtId="167" fontId="0" fillId="0" borderId="24" xfId="0" applyNumberFormat="1" applyBorder="1" applyAlignment="1">
      <alignment horizontal="center"/>
    </xf>
    <xf numFmtId="167" fontId="0" fillId="3" borderId="27" xfId="0" applyNumberFormat="1" applyFill="1" applyBorder="1" applyAlignment="1">
      <alignment horizontal="center"/>
    </xf>
    <xf numFmtId="167" fontId="0" fillId="0" borderId="95" xfId="0" applyNumberFormat="1" applyBorder="1" applyAlignment="1">
      <alignment horizontal="center"/>
    </xf>
    <xf numFmtId="0" fontId="0" fillId="2" borderId="92" xfId="0" applyFont="1" applyFill="1" applyBorder="1" applyAlignment="1">
      <alignment vertical="center"/>
    </xf>
    <xf numFmtId="0" fontId="0" fillId="0" borderId="88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164" fontId="0" fillId="2" borderId="64" xfId="91" applyNumberFormat="1" applyFont="1" applyFill="1" applyBorder="1" applyAlignment="1">
      <alignment horizontal="center" vertical="center"/>
    </xf>
    <xf numFmtId="164" fontId="0" fillId="2" borderId="88" xfId="91" applyNumberFormat="1" applyFont="1" applyFill="1" applyBorder="1" applyAlignment="1">
      <alignment horizontal="center" vertical="center"/>
    </xf>
    <xf numFmtId="3" fontId="27" fillId="3" borderId="102" xfId="91" applyNumberFormat="1" applyFont="1" applyFill="1" applyBorder="1" applyAlignment="1">
      <alignment horizontal="center" vertical="center"/>
    </xf>
    <xf numFmtId="3" fontId="27" fillId="0" borderId="48" xfId="0" applyNumberFormat="1" applyFont="1" applyBorder="1" applyAlignment="1">
      <alignment horizontal="center" vertical="center"/>
    </xf>
    <xf numFmtId="0" fontId="0" fillId="5" borderId="99" xfId="0" applyFont="1" applyFill="1" applyBorder="1" applyAlignment="1" applyProtection="1">
      <protection locked="0"/>
    </xf>
    <xf numFmtId="0" fontId="0" fillId="5" borderId="13" xfId="0" applyFont="1" applyFill="1" applyBorder="1" applyAlignment="1" applyProtection="1">
      <protection locked="0"/>
    </xf>
    <xf numFmtId="3" fontId="0" fillId="5" borderId="33" xfId="91" applyNumberFormat="1" applyFont="1" applyFill="1" applyBorder="1" applyAlignment="1" applyProtection="1">
      <alignment horizontal="center" vertical="center"/>
      <protection locked="0"/>
    </xf>
    <xf numFmtId="3" fontId="0" fillId="5" borderId="24" xfId="0" applyNumberFormat="1" applyFill="1" applyBorder="1" applyAlignment="1" applyProtection="1">
      <alignment horizontal="center" vertical="center"/>
      <protection locked="0"/>
    </xf>
    <xf numFmtId="3" fontId="0" fillId="5" borderId="34" xfId="91" applyNumberFormat="1" applyFont="1" applyFill="1" applyBorder="1" applyAlignment="1" applyProtection="1">
      <alignment horizontal="center" vertical="center"/>
      <protection locked="0"/>
    </xf>
    <xf numFmtId="3" fontId="0" fillId="5" borderId="95" xfId="0" applyNumberFormat="1" applyFill="1" applyBorder="1" applyAlignment="1" applyProtection="1">
      <alignment horizontal="center" vertical="center"/>
      <protection locked="0"/>
    </xf>
    <xf numFmtId="3" fontId="0" fillId="5" borderId="99" xfId="91" applyNumberFormat="1" applyFont="1" applyFill="1" applyBorder="1" applyAlignment="1" applyProtection="1">
      <alignment horizontal="center" vertical="center"/>
      <protection locked="0"/>
    </xf>
    <xf numFmtId="3" fontId="0" fillId="5" borderId="98" xfId="0" applyNumberFormat="1" applyFill="1" applyBorder="1" applyAlignment="1" applyProtection="1">
      <alignment horizontal="center" vertical="center"/>
      <protection locked="0"/>
    </xf>
    <xf numFmtId="0" fontId="0" fillId="5" borderId="33" xfId="0" applyFont="1" applyFill="1" applyBorder="1" applyAlignment="1" applyProtection="1">
      <protection locked="0"/>
    </xf>
    <xf numFmtId="0" fontId="0" fillId="5" borderId="30" xfId="0" applyFont="1" applyFill="1" applyBorder="1" applyAlignment="1" applyProtection="1">
      <protection locked="0"/>
    </xf>
    <xf numFmtId="49" fontId="40" fillId="5" borderId="0" xfId="0" applyNumberFormat="1" applyFont="1" applyFill="1" applyAlignment="1">
      <alignment horizontal="left" vertical="top" wrapText="1"/>
    </xf>
    <xf numFmtId="49" fontId="6" fillId="5" borderId="0" xfId="0" applyNumberFormat="1" applyFont="1" applyFill="1" applyAlignment="1">
      <alignment wrapText="1"/>
    </xf>
    <xf numFmtId="165" fontId="22" fillId="3" borderId="29" xfId="2" applyNumberFormat="1" applyFont="1" applyFill="1" applyBorder="1" applyAlignment="1" applyProtection="1">
      <alignment horizontal="center" vertical="center" wrapText="1"/>
    </xf>
    <xf numFmtId="165" fontId="22" fillId="3" borderId="45" xfId="2" applyNumberFormat="1" applyFont="1" applyFill="1" applyBorder="1" applyAlignment="1" applyProtection="1">
      <alignment horizontal="center" vertical="center" wrapText="1"/>
    </xf>
    <xf numFmtId="165" fontId="22" fillId="3" borderId="52" xfId="2" applyNumberFormat="1" applyFont="1" applyFill="1" applyBorder="1" applyAlignment="1" applyProtection="1">
      <alignment horizontal="center" vertical="center" wrapText="1"/>
    </xf>
    <xf numFmtId="165" fontId="22" fillId="3" borderId="75" xfId="2" applyNumberFormat="1" applyFont="1" applyFill="1" applyBorder="1" applyAlignment="1" applyProtection="1">
      <alignment horizontal="center" vertical="center" wrapText="1"/>
    </xf>
    <xf numFmtId="165" fontId="22" fillId="3" borderId="77" xfId="2" applyNumberFormat="1" applyFont="1" applyFill="1" applyBorder="1" applyAlignment="1" applyProtection="1">
      <alignment horizontal="center" vertical="center" wrapText="1"/>
    </xf>
    <xf numFmtId="165" fontId="22" fillId="3" borderId="49" xfId="2" applyNumberFormat="1" applyFont="1" applyFill="1" applyBorder="1" applyAlignment="1" applyProtection="1">
      <alignment horizontal="center" vertical="center" wrapText="1"/>
    </xf>
    <xf numFmtId="165" fontId="22" fillId="3" borderId="0" xfId="2" applyNumberFormat="1" applyFont="1" applyFill="1" applyBorder="1" applyAlignment="1" applyProtection="1">
      <alignment horizontal="center" vertical="center" wrapText="1"/>
    </xf>
    <xf numFmtId="165" fontId="22" fillId="3" borderId="76" xfId="2" applyNumberFormat="1" applyFont="1" applyFill="1" applyBorder="1" applyAlignment="1" applyProtection="1">
      <alignment horizontal="center" vertical="center" wrapText="1"/>
    </xf>
    <xf numFmtId="167" fontId="22" fillId="3" borderId="45" xfId="0" applyNumberFormat="1" applyFont="1" applyFill="1" applyBorder="1" applyAlignment="1" applyProtection="1">
      <alignment horizontal="center" vertical="center" wrapText="1"/>
    </xf>
    <xf numFmtId="167" fontId="22" fillId="3" borderId="36" xfId="0" applyNumberFormat="1" applyFont="1" applyFill="1" applyBorder="1" applyAlignment="1" applyProtection="1">
      <alignment horizontal="center" vertical="center" wrapText="1"/>
    </xf>
    <xf numFmtId="167" fontId="22" fillId="3" borderId="37" xfId="0" applyNumberFormat="1" applyFont="1" applyFill="1" applyBorder="1" applyAlignment="1" applyProtection="1">
      <alignment horizontal="center" vertical="center" wrapText="1"/>
    </xf>
    <xf numFmtId="0" fontId="22" fillId="3" borderId="36" xfId="0" applyFont="1" applyFill="1" applyBorder="1" applyAlignment="1" applyProtection="1">
      <alignment horizontal="left" vertical="center" wrapText="1"/>
    </xf>
    <xf numFmtId="0" fontId="22" fillId="3" borderId="37" xfId="0" applyFont="1" applyFill="1" applyBorder="1" applyAlignment="1" applyProtection="1">
      <alignment horizontal="left" vertical="center" wrapText="1"/>
    </xf>
    <xf numFmtId="167" fontId="1" fillId="0" borderId="110" xfId="0" applyNumberFormat="1" applyFont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Border="1" applyAlignment="1" applyProtection="1">
      <alignment horizontal="center" vertical="center" wrapText="1"/>
      <protection hidden="1"/>
    </xf>
    <xf numFmtId="167" fontId="1" fillId="0" borderId="114" xfId="0" applyNumberFormat="1" applyFont="1" applyBorder="1" applyAlignment="1" applyProtection="1">
      <alignment horizontal="center" vertical="center" wrapText="1"/>
      <protection hidden="1"/>
    </xf>
    <xf numFmtId="0" fontId="1" fillId="3" borderId="111" xfId="0" applyFont="1" applyFill="1" applyBorder="1" applyAlignment="1" applyProtection="1">
      <alignment horizontal="center" vertical="center" wrapText="1"/>
      <protection hidden="1"/>
    </xf>
    <xf numFmtId="0" fontId="1" fillId="3" borderId="40" xfId="0" applyFont="1" applyFill="1" applyBorder="1" applyAlignment="1" applyProtection="1">
      <alignment horizontal="center" vertical="center" wrapText="1"/>
    </xf>
    <xf numFmtId="0" fontId="1" fillId="3" borderId="50" xfId="0" applyFont="1" applyFill="1" applyBorder="1" applyAlignment="1" applyProtection="1">
      <alignment horizontal="center" vertical="center" wrapText="1"/>
      <protection hidden="1"/>
    </xf>
  </cellXfs>
  <cellStyles count="94">
    <cellStyle name="Comma" xfId="1" builtinId="3"/>
    <cellStyle name="Comma 2" xfId="89" xr:uid="{00000000-0005-0000-0000-000001000000}"/>
    <cellStyle name="Comma 3" xfId="91" xr:uid="{69E1E2EC-136B-40B8-8FED-F8E2607D471D}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93" builtinId="8"/>
    <cellStyle name="Normal" xfId="0" builtinId="0"/>
    <cellStyle name="Normal 2" xfId="4" xr:uid="{00000000-0005-0000-0000-000055000000}"/>
    <cellStyle name="Normal 2 2" xfId="5" xr:uid="{00000000-0005-0000-0000-000056000000}"/>
    <cellStyle name="Normal 2 2 2" xfId="90" xr:uid="{00000000-0005-0000-0000-000057000000}"/>
    <cellStyle name="Normal 2 3" xfId="88" xr:uid="{00000000-0005-0000-0000-000058000000}"/>
    <cellStyle name="Percent" xfId="2" builtinId="5"/>
    <cellStyle name="Percent 2" xfId="92" xr:uid="{457EEE72-22D0-4C07-8AD0-2AE1AC147B87}"/>
    <cellStyle name="Percent 3" xfId="3" xr:uid="{00000000-0005-0000-0000-00005A000000}"/>
  </cellStyles>
  <dxfs count="4">
    <dxf>
      <font>
        <color rgb="FF9C0006"/>
      </font>
      <fill>
        <patternFill>
          <bgColor rgb="FFFFC7CE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DDDDDD"/>
      <color rgb="FFFFFFCC"/>
      <color rgb="FFFADA63"/>
      <color rgb="FF00A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13" Type="http://purl.oclc.org/ooxml/officeDocument/relationships/customXml" Target="../customXml/item3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2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1.xml"/><Relationship Id="rId5" Type="http://purl.oclc.org/ooxml/officeDocument/relationships/worksheet" Target="worksheets/sheet5.xml"/><Relationship Id="rId10" Type="http://purl.oclc.org/ooxml/officeDocument/relationships/calcChain" Target="calcChain.xml"/><Relationship Id="rId4" Type="http://purl.oclc.org/ooxml/officeDocument/relationships/worksheet" Target="worksheets/sheet4.xml"/><Relationship Id="rId9" Type="http://purl.oclc.org/ooxml/officeDocument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21167</xdr:colOff>
      <xdr:row>1</xdr:row>
      <xdr:rowOff>21167</xdr:rowOff>
    </xdr:from>
    <xdr:to>
      <xdr:col>3</xdr:col>
      <xdr:colOff>160073</xdr:colOff>
      <xdr:row>3</xdr:row>
      <xdr:rowOff>75406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2C3DD05-4E0A-4DBF-BF42-2C029BBA765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1084" y="211667"/>
          <a:ext cx="763322" cy="773906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printerSettings" Target="../printerSettings/printerSettings1.bin"/><Relationship Id="rId1" Type="http://purl.oclc.org/ooxml/officeDocument/relationships/hyperlink" Target="https://www.green-e.org/docs/energy/framework/Green-e%20Framework%20for%20Renewable%20Energy%20Certificatio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printerSettings" Target="../printerSettings/printerSettings2.bin"/><Relationship Id="rId1" Type="http://purl.oclc.org/ooxml/officeDocument/relationships/hyperlink" Target="https://portfoliomanager.energystar.gov/pdf/reference/US%20National%20Median%20Table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M27"/>
  <sheetViews>
    <sheetView showGridLines="0" tabSelected="1" zoomScale="90" zoomScaleNormal="90" zoomScalePageLayoutView="90" workbookViewId="0">
      <selection activeCell="P19" sqref="P19"/>
    </sheetView>
  </sheetViews>
  <sheetFormatPr defaultColWidth="8.85546875" defaultRowHeight="15" customHeight="1"/>
  <cols>
    <col min="1" max="1" width="2.7109375" style="4" customWidth="1"/>
    <col min="2" max="2" width="2.42578125" style="4" customWidth="1"/>
    <col min="3" max="3" width="7" style="4" customWidth="1"/>
    <col min="4" max="4" width="2.7109375" style="4" customWidth="1"/>
    <col min="5" max="5" width="5.7109375" style="4" customWidth="1"/>
    <col min="6" max="6" width="12.7109375" style="4" customWidth="1"/>
    <col min="7" max="7" width="18.7109375" style="4" customWidth="1"/>
    <col min="8" max="8" width="15.7109375" style="4" customWidth="1"/>
    <col min="9" max="9" width="12.140625" style="4" customWidth="1"/>
    <col min="10" max="10" width="18.7109375" style="4" customWidth="1"/>
    <col min="11" max="12" width="2.7109375" style="4" customWidth="1"/>
    <col min="13" max="13" width="12" style="4" hidden="1" customWidth="1"/>
    <col min="14" max="16384" width="8.85546875" style="4"/>
  </cols>
  <sheetData>
    <row r="2" spans="1:11" ht="15" customHeight="1">
      <c r="B2" s="14"/>
      <c r="C2" s="15"/>
      <c r="D2" s="15"/>
      <c r="E2" s="16"/>
      <c r="F2" s="16"/>
      <c r="G2" s="16"/>
      <c r="H2" s="17"/>
      <c r="I2" s="17"/>
      <c r="J2" s="17"/>
      <c r="K2" s="18"/>
    </row>
    <row r="3" spans="1:11" s="36" customFormat="1" ht="42" customHeight="1">
      <c r="A3" s="32"/>
      <c r="B3" s="33"/>
      <c r="C3" s="34"/>
      <c r="D3" s="7"/>
      <c r="E3" s="362" t="s">
        <v>12</v>
      </c>
      <c r="F3" s="362"/>
      <c r="G3" s="362"/>
      <c r="H3" s="362"/>
      <c r="I3" s="362"/>
      <c r="J3" s="362"/>
      <c r="K3" s="35"/>
    </row>
    <row r="4" spans="1:11" ht="21" customHeight="1">
      <c r="B4" s="19"/>
      <c r="C4" s="8"/>
      <c r="D4" s="3"/>
      <c r="E4" s="9"/>
      <c r="F4" s="9"/>
      <c r="G4" s="9"/>
      <c r="H4" s="8"/>
      <c r="I4" s="8"/>
      <c r="J4" s="3"/>
      <c r="K4" s="20"/>
    </row>
    <row r="5" spans="1:11" s="54" customFormat="1" ht="21" customHeight="1">
      <c r="B5" s="55"/>
      <c r="C5" s="56"/>
      <c r="D5" s="57"/>
      <c r="E5" s="58" t="s">
        <v>7</v>
      </c>
      <c r="F5" s="58"/>
      <c r="G5" s="59"/>
      <c r="H5" s="60"/>
      <c r="I5" s="60"/>
      <c r="J5" s="61"/>
      <c r="K5" s="20"/>
    </row>
    <row r="6" spans="1:11" ht="15" customHeight="1">
      <c r="B6" s="19"/>
      <c r="C6" s="3"/>
      <c r="D6" s="3"/>
      <c r="E6" s="6"/>
      <c r="F6" s="6"/>
      <c r="G6" s="6"/>
      <c r="H6" s="3"/>
      <c r="I6" s="3"/>
      <c r="J6" s="3"/>
      <c r="K6" s="20"/>
    </row>
    <row r="7" spans="1:11" ht="15" customHeight="1">
      <c r="A7" s="5"/>
      <c r="B7" s="21"/>
      <c r="C7" s="3"/>
      <c r="D7" s="10"/>
      <c r="E7" s="26" t="s">
        <v>0</v>
      </c>
      <c r="F7" s="26"/>
      <c r="G7" s="26"/>
      <c r="H7" s="11"/>
      <c r="I7" s="12"/>
      <c r="J7" s="3"/>
      <c r="K7" s="22"/>
    </row>
    <row r="8" spans="1:11" ht="15" customHeight="1">
      <c r="B8" s="19"/>
      <c r="C8" s="3"/>
      <c r="D8" s="3"/>
      <c r="E8" s="6" t="s">
        <v>8</v>
      </c>
      <c r="F8" s="6"/>
      <c r="G8" s="6"/>
      <c r="H8" s="3"/>
      <c r="I8" s="3"/>
      <c r="J8" s="44" t="s">
        <v>328</v>
      </c>
      <c r="K8" s="20"/>
    </row>
    <row r="9" spans="1:11" s="54" customFormat="1" ht="21" customHeight="1">
      <c r="B9" s="55"/>
      <c r="C9" s="56"/>
      <c r="D9" s="57"/>
      <c r="E9" s="58" t="s">
        <v>9</v>
      </c>
      <c r="F9" s="58"/>
      <c r="G9" s="59"/>
      <c r="H9" s="60"/>
      <c r="I9" s="60"/>
      <c r="J9" s="61"/>
      <c r="K9" s="20"/>
    </row>
    <row r="10" spans="1:11" ht="15" customHeight="1">
      <c r="B10" s="19"/>
      <c r="C10" s="3"/>
      <c r="D10" s="3"/>
      <c r="E10" s="6"/>
      <c r="F10" s="6"/>
      <c r="G10" s="6"/>
      <c r="H10" s="3"/>
      <c r="I10" s="3"/>
      <c r="J10" s="3"/>
      <c r="K10" s="20"/>
    </row>
    <row r="11" spans="1:11" ht="15" customHeight="1">
      <c r="B11" s="19"/>
      <c r="C11" s="3"/>
      <c r="D11" s="3"/>
      <c r="E11" s="26" t="s">
        <v>139</v>
      </c>
      <c r="F11" s="26"/>
      <c r="G11" s="26"/>
      <c r="H11" s="3"/>
      <c r="I11" s="3"/>
      <c r="J11" s="3"/>
      <c r="K11" s="20"/>
    </row>
    <row r="12" spans="1:11" ht="15" customHeight="1">
      <c r="B12" s="19"/>
      <c r="C12" s="3"/>
      <c r="D12" s="3"/>
      <c r="E12" s="360" t="s">
        <v>266</v>
      </c>
      <c r="F12" s="360"/>
      <c r="G12" s="360"/>
      <c r="H12" s="360"/>
      <c r="I12" s="360"/>
      <c r="J12" s="360"/>
      <c r="K12" s="20"/>
    </row>
    <row r="13" spans="1:11" ht="15" customHeight="1">
      <c r="B13" s="19"/>
      <c r="C13" s="3"/>
      <c r="D13" s="3"/>
      <c r="E13" s="237" t="s">
        <v>267</v>
      </c>
      <c r="F13" s="66"/>
      <c r="G13" s="66"/>
      <c r="H13" s="66"/>
      <c r="I13" s="66"/>
      <c r="J13" s="66"/>
      <c r="K13" s="20"/>
    </row>
    <row r="14" spans="1:11" ht="15" customHeight="1">
      <c r="B14" s="19"/>
      <c r="C14" s="3"/>
      <c r="D14" s="3"/>
      <c r="E14" s="66"/>
      <c r="F14" s="66"/>
      <c r="G14" s="66"/>
      <c r="H14" s="66"/>
      <c r="I14" s="66"/>
      <c r="J14" s="66"/>
      <c r="K14" s="20"/>
    </row>
    <row r="15" spans="1:11" ht="15" customHeight="1">
      <c r="B15" s="19"/>
      <c r="C15" s="3"/>
      <c r="D15" s="3"/>
      <c r="E15" s="26" t="s">
        <v>3</v>
      </c>
      <c r="F15" s="26"/>
      <c r="G15" s="26"/>
      <c r="H15" s="3"/>
      <c r="I15" s="3"/>
      <c r="J15" s="3"/>
      <c r="K15" s="20"/>
    </row>
    <row r="16" spans="1:11" ht="14.25" customHeight="1">
      <c r="B16" s="19"/>
      <c r="C16" s="3"/>
      <c r="D16" s="3"/>
      <c r="E16" s="360" t="s">
        <v>13</v>
      </c>
      <c r="F16" s="360"/>
      <c r="G16" s="360"/>
      <c r="H16" s="360"/>
      <c r="I16" s="360"/>
      <c r="J16" s="360"/>
      <c r="K16" s="20"/>
    </row>
    <row r="17" spans="2:13" ht="15" customHeight="1">
      <c r="B17" s="19"/>
      <c r="C17" s="3"/>
      <c r="D17" s="3"/>
      <c r="E17" s="13"/>
      <c r="F17" s="13"/>
      <c r="G17" s="13"/>
      <c r="H17" s="3"/>
      <c r="I17" s="3"/>
      <c r="J17" s="3"/>
      <c r="K17" s="20"/>
    </row>
    <row r="18" spans="2:13" s="37" customFormat="1" ht="15" customHeight="1">
      <c r="B18" s="38"/>
      <c r="C18" s="39"/>
      <c r="D18" s="9"/>
      <c r="E18" s="27" t="s">
        <v>1</v>
      </c>
      <c r="F18" s="27"/>
      <c r="G18" s="27"/>
      <c r="H18" s="9"/>
      <c r="I18" s="40"/>
      <c r="J18" s="47"/>
      <c r="K18" s="41"/>
    </row>
    <row r="19" spans="2:13" s="37" customFormat="1" ht="40.5" customHeight="1">
      <c r="B19" s="38"/>
      <c r="C19" s="42"/>
      <c r="D19" s="9"/>
      <c r="E19" s="361" t="s">
        <v>309</v>
      </c>
      <c r="F19" s="361"/>
      <c r="G19" s="361"/>
      <c r="H19" s="361"/>
      <c r="I19" s="361"/>
      <c r="J19" s="361"/>
      <c r="K19" s="41"/>
    </row>
    <row r="20" spans="2:13" ht="24.75" customHeight="1">
      <c r="B20" s="23"/>
      <c r="C20" s="24"/>
      <c r="D20" s="24"/>
      <c r="E20" s="24"/>
      <c r="F20" s="24"/>
      <c r="G20" s="24"/>
      <c r="H20" s="24"/>
      <c r="I20" s="24"/>
      <c r="J20" s="24"/>
      <c r="K20" s="25"/>
    </row>
    <row r="21" spans="2:13" ht="9" customHeight="1"/>
    <row r="22" spans="2:13" ht="12" customHeight="1">
      <c r="K22" s="63" t="s">
        <v>331</v>
      </c>
      <c r="M22" s="348" t="s">
        <v>4</v>
      </c>
    </row>
    <row r="23" spans="2:13" ht="12" customHeight="1">
      <c r="K23" s="63" t="s">
        <v>14</v>
      </c>
      <c r="M23" s="346">
        <f>IF(J8="IP units",1,2)</f>
        <v>2</v>
      </c>
    </row>
    <row r="24" spans="2:13" ht="12" customHeight="1">
      <c r="K24" s="64" t="s">
        <v>10</v>
      </c>
      <c r="M24" s="48" t="s">
        <v>5</v>
      </c>
    </row>
    <row r="25" spans="2:13" ht="12" customHeight="1">
      <c r="K25" s="65" t="s">
        <v>11</v>
      </c>
    </row>
    <row r="26" spans="2:13" ht="11.45" customHeight="1">
      <c r="K26" s="65" t="s">
        <v>330</v>
      </c>
      <c r="M26" s="348" t="s">
        <v>6</v>
      </c>
    </row>
    <row r="27" spans="2:13" ht="15" customHeight="1">
      <c r="M27" s="347" t="str">
        <f>IF(M23=1,"(sq ft)","(sq m)")</f>
        <v>(sq m)</v>
      </c>
    </row>
  </sheetData>
  <sheetProtection algorithmName="SHA-512" hashValue="ACynRWbgv+ZV3NDCmMXvwKsMpvl23Ml/C6+yO0aQWcMK76jc5tp1+x7dZUfoEJuN10pv01NblzZZ7wxLFt1FjQ==" saltValue="CgxAS7xaEEvnNbjh/JdPDA==" spinCount="100000" sheet="1" objects="1" scenarios="1"/>
  <mergeCells count="4">
    <mergeCell ref="E16:J16"/>
    <mergeCell ref="E19:J19"/>
    <mergeCell ref="E12:J12"/>
    <mergeCell ref="E3:J3"/>
  </mergeCells>
  <dataValidations count="1">
    <dataValidation type="list" operator="greaterThanOrEqual" allowBlank="1" showInputMessage="1" showErrorMessage="1" sqref="J8" xr:uid="{00000000-0002-0000-0000-000000000000}">
      <formula1>"IP units, SI units"</formula1>
    </dataValidation>
  </dataValidations>
  <pageMargins left="0.75" right="0.75" top="1" bottom="1" header="0.5" footer="0.5"/>
  <pageSetup orientation="portrait"/>
  <headerFooter alignWithMargins="0"/>
  <drawing r:id="rId1"/>
  <extLst>
    <ext xmlns="http://schemas.openxmlformats.org/spreadsheetml/2006/main"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AB107"/>
  <sheetViews>
    <sheetView showGridLines="0" zoomScale="80" zoomScaleNormal="80" zoomScalePageLayoutView="90" workbookViewId="0">
      <pane xSplit="4" ySplit="3" topLeftCell="I4" activePane="bottomRight" state="frozen"/>
      <selection activeCell="S20" sqref="S20"/>
      <selection pane="topRight" activeCell="S20" sqref="S20"/>
      <selection pane="bottomLeft" activeCell="S20" sqref="S20"/>
      <selection pane="bottomRight" activeCell="N27" sqref="N27"/>
    </sheetView>
  </sheetViews>
  <sheetFormatPr defaultColWidth="8.85546875" defaultRowHeight="12.75"/>
  <cols>
    <col min="1" max="1" width="7.28515625" style="2" customWidth="1"/>
    <col min="2" max="2" width="37.5703125" style="2" customWidth="1"/>
    <col min="3" max="3" width="38.5703125" style="2" customWidth="1"/>
    <col min="4" max="4" width="11.7109375" style="2" customWidth="1"/>
    <col min="5" max="5" width="37.140625" style="2" customWidth="1"/>
    <col min="6" max="6" width="17.42578125" style="2" customWidth="1"/>
    <col min="7" max="7" width="26.140625" style="2" customWidth="1"/>
    <col min="8" max="9" width="15.5703125" style="2" customWidth="1"/>
    <col min="10" max="10" width="10.7109375" style="2" customWidth="1"/>
    <col min="11" max="11" width="2.7109375" style="2" customWidth="1"/>
    <col min="12" max="12" width="22.7109375" style="2" customWidth="1"/>
    <col min="13" max="13" width="24.85546875" style="2" customWidth="1"/>
    <col min="14" max="14" width="22.7109375" style="2" customWidth="1"/>
    <col min="15" max="15" width="15.5703125" style="2" customWidth="1"/>
    <col min="16" max="16" width="2.7109375" style="2" customWidth="1"/>
    <col min="17" max="19" width="14" style="2" customWidth="1"/>
    <col min="20" max="20" width="15.42578125" style="2" customWidth="1"/>
    <col min="21" max="21" width="8.85546875" style="2"/>
    <col min="22" max="22" width="20" style="2" customWidth="1"/>
    <col min="23" max="23" width="20" style="2" hidden="1" customWidth="1"/>
    <col min="24" max="24" width="19.5703125" style="2" hidden="1" customWidth="1"/>
    <col min="25" max="28" width="8.85546875" style="2" customWidth="1"/>
    <col min="29" max="16384" width="8.85546875" style="2"/>
  </cols>
  <sheetData>
    <row r="1" spans="1:24" s="30" customFormat="1" ht="15" customHeight="1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29"/>
      <c r="V1" s="29"/>
      <c r="W1" s="29"/>
    </row>
    <row r="2" spans="1:24" s="30" customFormat="1" ht="21" customHeight="1">
      <c r="A2" s="71"/>
      <c r="B2" s="72" t="s">
        <v>15</v>
      </c>
      <c r="C2" s="72"/>
      <c r="D2" s="72"/>
      <c r="E2" s="72"/>
      <c r="F2" s="72"/>
      <c r="G2" s="72"/>
      <c r="H2" s="72"/>
      <c r="I2" s="72"/>
      <c r="J2" s="72"/>
      <c r="K2" s="73"/>
      <c r="L2" s="72"/>
      <c r="M2" s="72"/>
      <c r="N2" s="72"/>
      <c r="O2" s="72"/>
      <c r="P2" s="73"/>
      <c r="Q2" s="72"/>
      <c r="R2" s="72"/>
      <c r="S2" s="72"/>
      <c r="T2" s="72"/>
      <c r="U2" s="31"/>
      <c r="V2" s="31"/>
      <c r="W2" s="31"/>
    </row>
    <row r="3" spans="1:24" s="30" customFormat="1" ht="15" customHeight="1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29"/>
      <c r="V3" s="29"/>
      <c r="W3" s="29"/>
    </row>
    <row r="4" spans="1:24" ht="24" customHeight="1">
      <c r="A4" s="51"/>
    </row>
    <row r="5" spans="1:24" ht="24" customHeight="1">
      <c r="A5" s="51"/>
      <c r="B5" s="92" t="s">
        <v>320</v>
      </c>
    </row>
    <row r="6" spans="1:24" ht="24" customHeight="1">
      <c r="A6" s="51"/>
      <c r="B6" s="91" t="s">
        <v>150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24">
      <c r="A7" s="51"/>
      <c r="B7" s="91" t="s">
        <v>151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</row>
    <row r="8" spans="1:24">
      <c r="A8" s="51"/>
      <c r="B8" s="91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</row>
    <row r="9" spans="1:24">
      <c r="A9" s="51"/>
      <c r="B9" s="91" t="s">
        <v>268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</row>
    <row r="10" spans="1:24">
      <c r="A10" s="51"/>
      <c r="B10" s="9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</row>
    <row r="11" spans="1:24" ht="24" customHeight="1">
      <c r="A11" s="51"/>
      <c r="B11" s="369" t="s">
        <v>61</v>
      </c>
      <c r="C11" s="106" t="s">
        <v>46</v>
      </c>
      <c r="D11" s="107"/>
      <c r="E11" s="108"/>
    </row>
    <row r="12" spans="1:24" ht="24" customHeight="1">
      <c r="A12" s="51"/>
      <c r="B12" s="370"/>
      <c r="C12" s="74" t="s">
        <v>47</v>
      </c>
      <c r="D12" s="109" t="s">
        <v>48</v>
      </c>
      <c r="X12" s="62" t="s">
        <v>51</v>
      </c>
    </row>
    <row r="13" spans="1:24" ht="24" customHeight="1">
      <c r="A13" s="51"/>
      <c r="B13" s="110" t="str">
        <f>LookupData!E2</f>
        <v>Electricity</v>
      </c>
      <c r="C13" s="118"/>
      <c r="D13" s="111" t="str" cm="1">
        <f t="array" ref="D13">+Default_Elec_Units</f>
        <v>kWh</v>
      </c>
      <c r="X13" s="127">
        <f>IFERROR(C13*VLOOKUP(D13,Energy_Units_Table,2,FALSE),0)</f>
        <v>0</v>
      </c>
    </row>
    <row r="14" spans="1:24" ht="24" customHeight="1">
      <c r="A14" s="51"/>
      <c r="B14" s="112" t="str">
        <f>LookupData!E3</f>
        <v>Fossil Fuel</v>
      </c>
      <c r="C14" s="119"/>
      <c r="D14" s="111" t="str" cm="1">
        <f t="array" ref="D14">+Default_Fuel_Units</f>
        <v>kWh</v>
      </c>
      <c r="X14" s="127">
        <f>IFERROR(C14*VLOOKUP(D14,Energy_Units_Table,2,FALSE),0)</f>
        <v>0</v>
      </c>
    </row>
    <row r="15" spans="1:24" ht="24" customHeight="1">
      <c r="A15" s="51"/>
      <c r="B15" s="112" t="str">
        <f>LookupData!E4</f>
        <v>District Cooling</v>
      </c>
      <c r="C15" s="119"/>
      <c r="D15" s="111" t="str" cm="1">
        <f t="array" ref="D15">+Default_Cooling_Units</f>
        <v>kWh</v>
      </c>
      <c r="X15" s="127">
        <f>IFERROR(C15*VLOOKUP(D15,Energy_Units_Table,2,FALSE),0)</f>
        <v>0</v>
      </c>
    </row>
    <row r="16" spans="1:24" ht="24" customHeight="1">
      <c r="A16" s="51"/>
      <c r="B16" s="112" t="str">
        <f>LookupData!E5</f>
        <v>District Heating</v>
      </c>
      <c r="C16" s="119"/>
      <c r="D16" s="111" t="str" cm="1">
        <f t="array" ref="D16">+Default_Heating_Units</f>
        <v>kWh</v>
      </c>
      <c r="X16" s="127">
        <f>IFERROR(C16*VLOOKUP(D16,Energy_Units_Table,2,FALSE),0)</f>
        <v>0</v>
      </c>
    </row>
    <row r="17" spans="1:28" ht="24" customHeight="1">
      <c r="A17" s="51"/>
      <c r="B17" s="113" t="str">
        <f>LookupData!E6</f>
        <v>Other</v>
      </c>
      <c r="C17" s="120"/>
      <c r="D17" s="114" t="str" cm="1">
        <f t="array" ref="D17">+Default_Total_Units</f>
        <v>MWh</v>
      </c>
      <c r="X17" s="127">
        <f>IFERROR(C17*VLOOKUP(D17,Energy_Units_Table,2,FALSE),0)</f>
        <v>0</v>
      </c>
    </row>
    <row r="18" spans="1:28" ht="24" customHeight="1">
      <c r="A18" s="51"/>
      <c r="B18" s="124" t="s">
        <v>49</v>
      </c>
      <c r="C18" s="125">
        <f>IFERROR(X18/VLOOKUP(D18,Energy_Units_Table,2,FALSE),0)</f>
        <v>0</v>
      </c>
      <c r="D18" s="349" t="str" cm="1">
        <f t="array" ref="D18">+Default_Total_Units</f>
        <v>MWh</v>
      </c>
      <c r="X18" s="127">
        <f>SUM(X13:X17)</f>
        <v>0</v>
      </c>
    </row>
    <row r="19" spans="1:28" ht="24" customHeight="1">
      <c r="A19" s="51"/>
      <c r="B19" s="350" t="s">
        <v>114</v>
      </c>
      <c r="C19" s="415">
        <f>IFERROR(X19/VLOOKUP(D19,Energy_Units_Table,2,FALSE),0)</f>
        <v>0</v>
      </c>
      <c r="D19" s="418" t="str">
        <f>D18</f>
        <v>MWh</v>
      </c>
      <c r="X19" s="127">
        <f>SUM(X15,X16)</f>
        <v>0</v>
      </c>
    </row>
    <row r="20" spans="1:28" ht="24" customHeight="1">
      <c r="A20" s="51"/>
      <c r="B20" s="351" t="s">
        <v>59</v>
      </c>
      <c r="C20" s="416">
        <f>IFERROR(X20/VLOOKUP(D20,Energy_Units_Table,2,FALSE),0)</f>
        <v>0</v>
      </c>
      <c r="D20" s="419" t="str">
        <f>D18</f>
        <v>MWh</v>
      </c>
      <c r="X20" s="127">
        <f>SUM(X13,X15,X16)</f>
        <v>0</v>
      </c>
    </row>
    <row r="21" spans="1:28" ht="24" customHeight="1">
      <c r="A21" s="51"/>
      <c r="B21" s="352" t="s">
        <v>60</v>
      </c>
      <c r="C21" s="417">
        <f>IFERROR(X21/VLOOKUP(D21,Energy_Units_Table,2,FALSE),0)</f>
        <v>0</v>
      </c>
      <c r="D21" s="420" t="str">
        <f>D18</f>
        <v>MWh</v>
      </c>
      <c r="X21" s="127">
        <f>SUM(X14+X17)</f>
        <v>0</v>
      </c>
    </row>
    <row r="22" spans="1:28" ht="24" customHeight="1">
      <c r="A22" s="51"/>
      <c r="X22" s="128"/>
    </row>
    <row r="23" spans="1:28" ht="24" customHeight="1">
      <c r="A23" s="51"/>
      <c r="B23" s="142" t="s">
        <v>131</v>
      </c>
      <c r="F23" s="104"/>
      <c r="G23" s="238"/>
      <c r="X23" s="128"/>
    </row>
    <row r="24" spans="1:28" ht="24" customHeight="1">
      <c r="A24" s="51"/>
      <c r="B24" s="91" t="s">
        <v>317</v>
      </c>
      <c r="X24" s="128"/>
    </row>
    <row r="25" spans="1:28" ht="32.25" customHeight="1">
      <c r="A25" s="52"/>
      <c r="B25" s="369" t="s">
        <v>81</v>
      </c>
      <c r="C25" s="367" t="s">
        <v>86</v>
      </c>
      <c r="D25" s="365" t="s">
        <v>112</v>
      </c>
      <c r="E25" s="363" t="s">
        <v>87</v>
      </c>
      <c r="F25" s="363" t="s">
        <v>95</v>
      </c>
      <c r="G25" s="363" t="s">
        <v>16</v>
      </c>
      <c r="H25" s="363" t="s">
        <v>295</v>
      </c>
      <c r="I25" s="363" t="s">
        <v>103</v>
      </c>
      <c r="J25" s="363" t="s">
        <v>296</v>
      </c>
      <c r="K25" s="53"/>
      <c r="L25" s="97" t="s">
        <v>93</v>
      </c>
      <c r="M25" s="98"/>
      <c r="N25" s="98"/>
      <c r="O25" s="97"/>
      <c r="P25" s="53"/>
      <c r="Q25" s="121" t="s">
        <v>113</v>
      </c>
      <c r="R25" s="122"/>
      <c r="S25" s="122"/>
      <c r="T25" s="123"/>
      <c r="X25" s="128"/>
    </row>
    <row r="26" spans="1:28" ht="84.75" customHeight="1">
      <c r="A26" s="52"/>
      <c r="B26" s="370"/>
      <c r="C26" s="368"/>
      <c r="D26" s="366"/>
      <c r="E26" s="364"/>
      <c r="F26" s="364"/>
      <c r="G26" s="364"/>
      <c r="H26" s="371"/>
      <c r="I26" s="364"/>
      <c r="J26" s="364"/>
      <c r="K26" s="43"/>
      <c r="L26" s="99" t="s">
        <v>92</v>
      </c>
      <c r="M26" s="68" t="s">
        <v>126</v>
      </c>
      <c r="N26" s="68" t="s">
        <v>94</v>
      </c>
      <c r="O26" s="96" t="s">
        <v>96</v>
      </c>
      <c r="P26" s="43"/>
      <c r="Q26" s="67" t="s">
        <v>115</v>
      </c>
      <c r="R26" s="68" t="s">
        <v>116</v>
      </c>
      <c r="S26" s="96" t="s">
        <v>117</v>
      </c>
      <c r="T26" s="132" t="s">
        <v>121</v>
      </c>
      <c r="W26" s="129" t="s">
        <v>120</v>
      </c>
      <c r="X26" s="129" t="s">
        <v>119</v>
      </c>
      <c r="Y26" s="1"/>
      <c r="Z26" s="1"/>
      <c r="AA26" s="1"/>
      <c r="AB26" s="1"/>
    </row>
    <row r="27" spans="1:28" ht="15" customHeight="1">
      <c r="A27" s="100" t="str" cm="1">
        <f t="array" aca="1" ref="A27" ca="1">_xlfn.TEXTJOIN("",TRUE,IFERROR(MID(B27,ROW(INDIRECT("1:"&amp;LEN(B27))),1)*1,""))</f>
        <v/>
      </c>
      <c r="B27" s="49"/>
      <c r="C27" s="75"/>
      <c r="D27" s="413" t="str" cm="1">
        <f t="array" ref="D27">+Default_Gen_Type</f>
        <v/>
      </c>
      <c r="E27" s="75"/>
      <c r="F27" s="115"/>
      <c r="G27" s="115"/>
      <c r="H27" s="101"/>
      <c r="I27" s="101"/>
      <c r="J27" s="101"/>
      <c r="K27" s="105"/>
      <c r="L27" s="138"/>
      <c r="M27" s="138"/>
      <c r="N27" s="410" t="str" cm="1">
        <f t="array" ref="N27">IFERROR(IF($L27&gt;0,IF(AND($A27="2",$W27&gt;$X$20),IF($J27="Yes",(($L27-$M27)*Contract_Years/10),($X$20/VLOOKUP($O27,Energy_Units_Table,2,FALSE)*Contract_Years/10)),IF(OR($A27="1",$A27="2",$J27="Yes",$D27&lt;&gt;"Electricity"),(($L27-$M27)*Contract_Years/10),"")),""),"")</f>
        <v/>
      </c>
      <c r="O27" s="135" t="str" cm="1">
        <f t="array" ref="O27">+Default_Renewable_Units</f>
        <v/>
      </c>
      <c r="P27" s="105"/>
      <c r="Q27" s="402" t="str">
        <f>IF(ISBLANK($L27),"",IFERROR(IF($D27="Electricity",IF($A27="1",$X27/$X$13,MIN($X27/$X$13,100%)),""),""))</f>
        <v/>
      </c>
      <c r="R27" s="403" t="str">
        <f t="shared" ref="R27:R36" si="0">IF(ISBLANK($L27),"",IFERROR(IF($D27="Electricity",MIN(MAX($X27-$X$13,0)/$X$19,100%),IF($D27="Fossil Fuel",MIN(MAX($X27-$X$21,0)/$X$19,100%),MIN($X27/$X$19,100%))),""))</f>
        <v/>
      </c>
      <c r="S27" s="404" t="str">
        <f t="shared" ref="S27:S36" si="1">IF(ISBLANK($L27),"",IFERROR(IF($D27&lt;&gt;"Electricity",MIN($X27/$X$21,100%),""),""))</f>
        <v/>
      </c>
      <c r="T27" s="405" t="str">
        <f t="shared" ref="T27:T36" ca="1" si="2">IFERROR(IF($A27="1",$X27/$X$18,IF(AND($A27="2",$D27="Electricity"),MIN(MIN($X27,$X$20)/$X$18,100%),MIN(IF($D27="Electricity",MIN($X27,$X$20)/$X$18,MIN($X27,$X$19+$X$21)/$X$18),100%))),"")</f>
        <v/>
      </c>
      <c r="W27" s="130">
        <f t="shared" ref="W27:W36" si="3">IFERROR((L27-M27)*VLOOKUP(O27,Energy_Units_Table,2,FALSE),0)</f>
        <v>0</v>
      </c>
      <c r="X27" s="130">
        <f t="shared" ref="X27:X36" si="4">IFERROR(N27*VLOOKUP(O27,Energy_Units_Table,2,FALSE),0)</f>
        <v>0</v>
      </c>
      <c r="Y27" s="1"/>
      <c r="Z27" s="1"/>
      <c r="AA27" s="1"/>
      <c r="AB27" s="1"/>
    </row>
    <row r="28" spans="1:28" ht="15" customHeight="1">
      <c r="A28" s="100" t="str" cm="1">
        <f t="array" aca="1" ref="A28" ca="1">_xlfn.TEXTJOIN("",TRUE,IFERROR(MID(B28,ROW(INDIRECT("1:"&amp;LEN(B28))),1)*1,""))</f>
        <v/>
      </c>
      <c r="B28" s="46"/>
      <c r="C28" s="76"/>
      <c r="D28" s="413" t="str" cm="1">
        <f t="array" ref="D28">+Default_Gen_Type</f>
        <v/>
      </c>
      <c r="E28" s="76"/>
      <c r="F28" s="116"/>
      <c r="G28" s="115"/>
      <c r="H28" s="101"/>
      <c r="I28" s="102"/>
      <c r="J28" s="102"/>
      <c r="K28" s="45"/>
      <c r="L28" s="139"/>
      <c r="M28" s="139"/>
      <c r="N28" s="411" t="str" cm="1">
        <f t="array" ref="N28">IFERROR(IF($L28&gt;0,IF(AND($A28="2",$W28&gt;$X$20),IF($J28="Yes",(($L28-$M28)*Contract_Years/10),($X$20/VLOOKUP($O28,Energy_Units_Table,2,FALSE)*Contract_Years/10)),IF(OR($A28="1",$A28="2",$J28="Yes",$D28&lt;&gt;"Electricity"),(($L28-$M28)*Contract_Years/10),"")),""),"")</f>
        <v/>
      </c>
      <c r="O28" s="136" t="str" cm="1">
        <f t="array" ref="O28">+Default_Renewable_Units</f>
        <v/>
      </c>
      <c r="P28" s="45"/>
      <c r="Q28" s="402" t="str">
        <f t="shared" ref="Q28:Q36" si="5">IF(ISBLANK($L28),"",IFERROR(IF($D28="Electricity",IF($A28="1",$X28/$X$13,MIN($X28/$X$13,100%)),""),""))</f>
        <v/>
      </c>
      <c r="R28" s="403" t="str">
        <f t="shared" si="0"/>
        <v/>
      </c>
      <c r="S28" s="404" t="str">
        <f t="shared" si="1"/>
        <v/>
      </c>
      <c r="T28" s="405" t="str">
        <f t="shared" ca="1" si="2"/>
        <v/>
      </c>
      <c r="W28" s="130">
        <f t="shared" si="3"/>
        <v>0</v>
      </c>
      <c r="X28" s="130">
        <f t="shared" si="4"/>
        <v>0</v>
      </c>
      <c r="Y28" s="1"/>
      <c r="Z28" s="1"/>
      <c r="AA28" s="1"/>
      <c r="AB28" s="1"/>
    </row>
    <row r="29" spans="1:28" ht="15" customHeight="1">
      <c r="A29" s="100" t="str" cm="1">
        <f t="array" aca="1" ref="A29" ca="1">_xlfn.TEXTJOIN("",TRUE,IFERROR(MID(B29,ROW(INDIRECT("1:"&amp;LEN(B29))),1)*1,""))</f>
        <v/>
      </c>
      <c r="B29" s="46"/>
      <c r="C29" s="76"/>
      <c r="D29" s="413" t="str" cm="1">
        <f t="array" ref="D29">+Default_Gen_Type</f>
        <v/>
      </c>
      <c r="E29" s="76"/>
      <c r="F29" s="116"/>
      <c r="G29" s="115"/>
      <c r="H29" s="101"/>
      <c r="I29" s="102"/>
      <c r="J29" s="102"/>
      <c r="K29" s="45"/>
      <c r="L29" s="139"/>
      <c r="M29" s="139"/>
      <c r="N29" s="411" t="str" cm="1">
        <f t="array" ref="N29">IFERROR(IF($L29&gt;0,IF(AND($A29="2",$W29&gt;$X$20),IF($J29="Yes",(($L29-$M29)*Contract_Years/10),($X$20/VLOOKUP($O29,Energy_Units_Table,2,FALSE)*Contract_Years/10)),IF(OR($A29="1",$A29="2",$J29="Yes",$D29&lt;&gt;"Electricity"),(($L29-$M29)*Contract_Years/10),"")),""),"")</f>
        <v/>
      </c>
      <c r="O29" s="136" t="str" cm="1">
        <f t="array" ref="O29">+Default_Renewable_Units</f>
        <v/>
      </c>
      <c r="P29" s="45"/>
      <c r="Q29" s="402" t="str">
        <f t="shared" si="5"/>
        <v/>
      </c>
      <c r="R29" s="403" t="str">
        <f t="shared" si="0"/>
        <v/>
      </c>
      <c r="S29" s="404" t="str">
        <f t="shared" si="1"/>
        <v/>
      </c>
      <c r="T29" s="405" t="str">
        <f t="shared" ca="1" si="2"/>
        <v/>
      </c>
      <c r="W29" s="130">
        <f>IFERROR((L29-M29)*VLOOKUP(O29,Energy_Units_Table,2,FALSE),0)</f>
        <v>0</v>
      </c>
      <c r="X29" s="130">
        <f>IFERROR(N29*VLOOKUP(O29,Energy_Units_Table,2,FALSE),0)</f>
        <v>0</v>
      </c>
      <c r="Y29" s="1"/>
      <c r="Z29" s="1"/>
      <c r="AA29" s="1"/>
      <c r="AB29" s="1"/>
    </row>
    <row r="30" spans="1:28" ht="15" customHeight="1">
      <c r="A30" s="100" t="str" cm="1">
        <f t="array" aca="1" ref="A30" ca="1">_xlfn.TEXTJOIN("",TRUE,IFERROR(MID(B30,ROW(INDIRECT("1:"&amp;LEN(B30))),1)*1,""))</f>
        <v/>
      </c>
      <c r="B30" s="46"/>
      <c r="C30" s="76"/>
      <c r="D30" s="413" t="str" cm="1">
        <f t="array" ref="D30">+Default_Gen_Type</f>
        <v/>
      </c>
      <c r="E30" s="76"/>
      <c r="F30" s="116"/>
      <c r="G30" s="115"/>
      <c r="H30" s="101"/>
      <c r="I30" s="102"/>
      <c r="J30" s="102"/>
      <c r="K30" s="45"/>
      <c r="L30" s="139"/>
      <c r="M30" s="139"/>
      <c r="N30" s="411" t="str" cm="1">
        <f t="array" ref="N30">IFERROR(IF($L30&gt;0,IF(AND($A30="2",$W30&gt;$X$20),IF($J30="Yes",(($L30-$M30)*Contract_Years/10),($X$20/VLOOKUP($O30,Energy_Units_Table,2,FALSE)*Contract_Years/10)),IF(OR($A30="1",$A30="2",$J30="Yes",$D30&lt;&gt;"Electricity"),(($L30-$M30)*Contract_Years/10),"")),""),"")</f>
        <v/>
      </c>
      <c r="O30" s="136" t="str" cm="1">
        <f t="array" ref="O30">+Default_Renewable_Units</f>
        <v/>
      </c>
      <c r="P30" s="45"/>
      <c r="Q30" s="402" t="str">
        <f t="shared" si="5"/>
        <v/>
      </c>
      <c r="R30" s="403" t="str">
        <f t="shared" si="0"/>
        <v/>
      </c>
      <c r="S30" s="404" t="str">
        <f t="shared" si="1"/>
        <v/>
      </c>
      <c r="T30" s="405" t="str">
        <f t="shared" ca="1" si="2"/>
        <v/>
      </c>
      <c r="W30" s="130">
        <f t="shared" si="3"/>
        <v>0</v>
      </c>
      <c r="X30" s="130">
        <f t="shared" si="4"/>
        <v>0</v>
      </c>
      <c r="Y30" s="1"/>
      <c r="Z30" s="1"/>
      <c r="AA30" s="1"/>
      <c r="AB30" s="1"/>
    </row>
    <row r="31" spans="1:28" ht="15" customHeight="1">
      <c r="A31" s="100" t="str" cm="1">
        <f t="array" aca="1" ref="A31" ca="1">_xlfn.TEXTJOIN("",TRUE,IFERROR(MID(B31,ROW(INDIRECT("1:"&amp;LEN(B31))),1)*1,""))</f>
        <v/>
      </c>
      <c r="B31" s="46"/>
      <c r="C31" s="76"/>
      <c r="D31" s="413" t="str" cm="1">
        <f t="array" ref="D31">+Default_Gen_Type</f>
        <v/>
      </c>
      <c r="E31" s="76"/>
      <c r="F31" s="116"/>
      <c r="G31" s="115"/>
      <c r="H31" s="101"/>
      <c r="I31" s="102"/>
      <c r="J31" s="102"/>
      <c r="K31" s="45"/>
      <c r="L31" s="139"/>
      <c r="M31" s="139"/>
      <c r="N31" s="411" t="str" cm="1">
        <f t="array" ref="N31">IFERROR(IF($L31&gt;0,IF(AND($A31="2",$W31&gt;$X$20),IF($J31="Yes",(($L31-$M31)*Contract_Years/10),($X$20/VLOOKUP($O31,Energy_Units_Table,2,FALSE)*Contract_Years/10)),IF(OR($A31="1",$A31="2",$J31="Yes",$D31&lt;&gt;"Electricity"),(($L31-$M31)*Contract_Years/10),"")),""),"")</f>
        <v/>
      </c>
      <c r="O31" s="136" t="str" cm="1">
        <f t="array" ref="O31">+Default_Renewable_Units</f>
        <v/>
      </c>
      <c r="P31" s="45"/>
      <c r="Q31" s="402" t="str">
        <f t="shared" si="5"/>
        <v/>
      </c>
      <c r="R31" s="403" t="str">
        <f t="shared" si="0"/>
        <v/>
      </c>
      <c r="S31" s="404" t="str">
        <f t="shared" si="1"/>
        <v/>
      </c>
      <c r="T31" s="405" t="str">
        <f t="shared" ca="1" si="2"/>
        <v/>
      </c>
      <c r="W31" s="130">
        <f t="shared" si="3"/>
        <v>0</v>
      </c>
      <c r="X31" s="130">
        <f t="shared" si="4"/>
        <v>0</v>
      </c>
      <c r="Y31" s="1"/>
      <c r="Z31" s="1"/>
      <c r="AA31" s="1"/>
      <c r="AB31" s="1"/>
    </row>
    <row r="32" spans="1:28" ht="15" customHeight="1">
      <c r="A32" s="100" t="str" cm="1">
        <f t="array" aca="1" ref="A32" ca="1">_xlfn.TEXTJOIN("",TRUE,IFERROR(MID(B32,ROW(INDIRECT("1:"&amp;LEN(B32))),1)*1,""))</f>
        <v/>
      </c>
      <c r="B32" s="46"/>
      <c r="C32" s="76"/>
      <c r="D32" s="413" t="str" cm="1">
        <f t="array" ref="D32">+Default_Gen_Type</f>
        <v/>
      </c>
      <c r="E32" s="76"/>
      <c r="F32" s="116"/>
      <c r="G32" s="115"/>
      <c r="H32" s="101"/>
      <c r="I32" s="102"/>
      <c r="J32" s="102"/>
      <c r="K32" s="45"/>
      <c r="L32" s="139"/>
      <c r="M32" s="139"/>
      <c r="N32" s="411" t="str" cm="1">
        <f t="array" ref="N32">IFERROR(IF($L32&gt;0,IF(AND($A32="2",$W32&gt;$X$20),IF($J32="Yes",(($L32-$M32)*Contract_Years/10),($X$20/VLOOKUP($O32,Energy_Units_Table,2,FALSE)*Contract_Years/10)),IF(OR($A32="1",$A32="2",$J32="Yes",$D32&lt;&gt;"Electricity"),(($L32-$M32)*Contract_Years/10),"")),""),"")</f>
        <v/>
      </c>
      <c r="O32" s="136" t="str" cm="1">
        <f t="array" ref="O32">+Default_Renewable_Units</f>
        <v/>
      </c>
      <c r="P32" s="45"/>
      <c r="Q32" s="402" t="str">
        <f t="shared" si="5"/>
        <v/>
      </c>
      <c r="R32" s="403" t="str">
        <f t="shared" si="0"/>
        <v/>
      </c>
      <c r="S32" s="404" t="str">
        <f t="shared" si="1"/>
        <v/>
      </c>
      <c r="T32" s="405" t="str">
        <f t="shared" ca="1" si="2"/>
        <v/>
      </c>
      <c r="W32" s="130">
        <f t="shared" si="3"/>
        <v>0</v>
      </c>
      <c r="X32" s="130">
        <f t="shared" si="4"/>
        <v>0</v>
      </c>
      <c r="Y32" s="1"/>
      <c r="Z32" s="1"/>
      <c r="AA32" s="1"/>
      <c r="AB32" s="1"/>
    </row>
    <row r="33" spans="1:28" ht="15" customHeight="1">
      <c r="A33" s="100" t="str" cm="1">
        <f t="array" aca="1" ref="A33" ca="1">_xlfn.TEXTJOIN("",TRUE,IFERROR(MID(B33,ROW(INDIRECT("1:"&amp;LEN(B33))),1)*1,""))</f>
        <v/>
      </c>
      <c r="B33" s="46"/>
      <c r="C33" s="76"/>
      <c r="D33" s="413" t="str" cm="1">
        <f t="array" ref="D33">+Default_Gen_Type</f>
        <v/>
      </c>
      <c r="E33" s="76"/>
      <c r="F33" s="116"/>
      <c r="G33" s="115"/>
      <c r="H33" s="101"/>
      <c r="I33" s="102"/>
      <c r="J33" s="102"/>
      <c r="K33" s="45"/>
      <c r="L33" s="139"/>
      <c r="M33" s="139"/>
      <c r="N33" s="411" t="str" cm="1">
        <f t="array" ref="N33">IFERROR(IF($L33&gt;0,IF(AND($A33="2",$W33&gt;$X$20),IF($J33="Yes",(($L33-$M33)*Contract_Years/10),($X$20/VLOOKUP($O33,Energy_Units_Table,2,FALSE)*Contract_Years/10)),IF(OR($A33="1",$A33="2",$J33="Yes",$D33&lt;&gt;"Electricity"),(($L33-$M33)*Contract_Years/10),"")),""),"")</f>
        <v/>
      </c>
      <c r="O33" s="136" t="str" cm="1">
        <f t="array" ref="O33">+Default_Renewable_Units</f>
        <v/>
      </c>
      <c r="P33" s="45"/>
      <c r="Q33" s="402" t="str">
        <f t="shared" si="5"/>
        <v/>
      </c>
      <c r="R33" s="403" t="str">
        <f t="shared" si="0"/>
        <v/>
      </c>
      <c r="S33" s="404" t="str">
        <f t="shared" si="1"/>
        <v/>
      </c>
      <c r="T33" s="405" t="str">
        <f t="shared" ca="1" si="2"/>
        <v/>
      </c>
      <c r="W33" s="130">
        <f t="shared" si="3"/>
        <v>0</v>
      </c>
      <c r="X33" s="130">
        <f t="shared" si="4"/>
        <v>0</v>
      </c>
      <c r="Y33" s="1"/>
      <c r="Z33" s="1"/>
      <c r="AA33" s="1"/>
      <c r="AB33" s="1"/>
    </row>
    <row r="34" spans="1:28" ht="15" customHeight="1">
      <c r="A34" s="100" t="str" cm="1">
        <f t="array" aca="1" ref="A34" ca="1">_xlfn.TEXTJOIN("",TRUE,IFERROR(MID(B34,ROW(INDIRECT("1:"&amp;LEN(B34))),1)*1,""))</f>
        <v/>
      </c>
      <c r="B34" s="46"/>
      <c r="C34" s="76"/>
      <c r="D34" s="413" t="str" cm="1">
        <f t="array" ref="D34">+Default_Gen_Type</f>
        <v/>
      </c>
      <c r="E34" s="76"/>
      <c r="F34" s="116"/>
      <c r="G34" s="115"/>
      <c r="H34" s="101"/>
      <c r="I34" s="102"/>
      <c r="J34" s="102"/>
      <c r="K34" s="45"/>
      <c r="L34" s="139"/>
      <c r="M34" s="139"/>
      <c r="N34" s="411" t="str" cm="1">
        <f t="array" ref="N34">IFERROR(IF($L34&gt;0,IF(AND($A34="2",$W34&gt;$X$20),IF($J34="Yes",(($L34-$M34)*Contract_Years/10),($X$20/VLOOKUP($O34,Energy_Units_Table,2,FALSE)*Contract_Years/10)),IF(OR($A34="1",$A34="2",$J34="Yes",$D34&lt;&gt;"Electricity"),(($L34-$M34)*Contract_Years/10),"")),""),"")</f>
        <v/>
      </c>
      <c r="O34" s="136" t="str" cm="1">
        <f t="array" ref="O34">+Default_Renewable_Units</f>
        <v/>
      </c>
      <c r="P34" s="45"/>
      <c r="Q34" s="402" t="str">
        <f t="shared" si="5"/>
        <v/>
      </c>
      <c r="R34" s="403" t="str">
        <f t="shared" si="0"/>
        <v/>
      </c>
      <c r="S34" s="404" t="str">
        <f t="shared" si="1"/>
        <v/>
      </c>
      <c r="T34" s="405" t="str">
        <f t="shared" ca="1" si="2"/>
        <v/>
      </c>
      <c r="W34" s="130">
        <f t="shared" si="3"/>
        <v>0</v>
      </c>
      <c r="X34" s="130">
        <f t="shared" si="4"/>
        <v>0</v>
      </c>
      <c r="Y34" s="1"/>
      <c r="Z34" s="1"/>
      <c r="AA34" s="1"/>
      <c r="AB34" s="1"/>
    </row>
    <row r="35" spans="1:28" ht="15" customHeight="1">
      <c r="A35" s="100" t="str" cm="1">
        <f t="array" aca="1" ref="A35" ca="1">_xlfn.TEXTJOIN("",TRUE,IFERROR(MID(B35,ROW(INDIRECT("1:"&amp;LEN(B35))),1)*1,""))</f>
        <v/>
      </c>
      <c r="B35" s="46"/>
      <c r="C35" s="76"/>
      <c r="D35" s="413" t="str" cm="1">
        <f t="array" ref="D35">+Default_Gen_Type</f>
        <v/>
      </c>
      <c r="E35" s="76"/>
      <c r="F35" s="116"/>
      <c r="G35" s="115"/>
      <c r="H35" s="101"/>
      <c r="I35" s="102"/>
      <c r="J35" s="102"/>
      <c r="K35" s="45"/>
      <c r="L35" s="139"/>
      <c r="M35" s="139"/>
      <c r="N35" s="411" t="str" cm="1">
        <f t="array" ref="N35">IFERROR(IF($L35&gt;0,IF(AND($A35="2",$W35&gt;$X$20),IF($J35="Yes",(($L35-$M35)*Contract_Years/10),($X$20/VLOOKUP($O35,Energy_Units_Table,2,FALSE)*Contract_Years/10)),IF(OR($A35="1",$A35="2",$J35="Yes",$D35&lt;&gt;"Electricity"),(($L35-$M35)*Contract_Years/10),"")),""),"")</f>
        <v/>
      </c>
      <c r="O35" s="136" t="str" cm="1">
        <f t="array" ref="O35">+Default_Renewable_Units</f>
        <v/>
      </c>
      <c r="P35" s="45"/>
      <c r="Q35" s="402" t="str">
        <f t="shared" si="5"/>
        <v/>
      </c>
      <c r="R35" s="403" t="str">
        <f t="shared" si="0"/>
        <v/>
      </c>
      <c r="S35" s="404" t="str">
        <f t="shared" si="1"/>
        <v/>
      </c>
      <c r="T35" s="405" t="str">
        <f t="shared" ca="1" si="2"/>
        <v/>
      </c>
      <c r="W35" s="130">
        <f t="shared" si="3"/>
        <v>0</v>
      </c>
      <c r="X35" s="130">
        <f t="shared" si="4"/>
        <v>0</v>
      </c>
      <c r="Y35" s="1"/>
      <c r="Z35" s="1"/>
      <c r="AA35" s="1"/>
      <c r="AB35" s="1"/>
    </row>
    <row r="36" spans="1:28" ht="15" customHeight="1">
      <c r="A36" s="100" t="str" cm="1">
        <f t="array" aca="1" ref="A36" ca="1">_xlfn.TEXTJOIN("",TRUE,IFERROR(MID(B36,ROW(INDIRECT("1:"&amp;LEN(B36))),1)*1,""))</f>
        <v/>
      </c>
      <c r="B36" s="50"/>
      <c r="C36" s="77"/>
      <c r="D36" s="414" t="str" cm="1">
        <f t="array" ref="D36">+Default_Gen_Type</f>
        <v/>
      </c>
      <c r="E36" s="77"/>
      <c r="F36" s="117"/>
      <c r="G36" s="141"/>
      <c r="H36" s="126"/>
      <c r="I36" s="103"/>
      <c r="J36" s="103"/>
      <c r="K36" s="45"/>
      <c r="L36" s="140"/>
      <c r="M36" s="140"/>
      <c r="N36" s="412" t="str" cm="1">
        <f t="array" ref="N36">IFERROR(IF($L36&gt;0,IF(AND($A36="2",$W36&gt;$X$20),IF($J36="Yes",(($L36-$M36)*Contract_Years/10),($X$20/VLOOKUP($O36,Energy_Units_Table,2,FALSE)*Contract_Years/10)),IF(OR($A36="1",$A36="2",$J36="Yes",$D36&lt;&gt;"Electricity"),(($L36-$M36)*Contract_Years/10),"")),""),"")</f>
        <v/>
      </c>
      <c r="O36" s="137" t="str" cm="1">
        <f t="array" ref="O36">+Default_Renewable_Units</f>
        <v/>
      </c>
      <c r="P36" s="45"/>
      <c r="Q36" s="406" t="str">
        <f t="shared" si="5"/>
        <v/>
      </c>
      <c r="R36" s="407" t="str">
        <f t="shared" si="0"/>
        <v/>
      </c>
      <c r="S36" s="408" t="str">
        <f t="shared" si="1"/>
        <v/>
      </c>
      <c r="T36" s="409" t="str">
        <f t="shared" ca="1" si="2"/>
        <v/>
      </c>
      <c r="W36" s="130">
        <f t="shared" si="3"/>
        <v>0</v>
      </c>
      <c r="X36" s="130">
        <f t="shared" si="4"/>
        <v>0</v>
      </c>
      <c r="Y36" s="1"/>
      <c r="Z36" s="1"/>
      <c r="AA36" s="1"/>
      <c r="AB36" s="1"/>
    </row>
    <row r="37" spans="1:28" ht="6.75" customHeight="1">
      <c r="A37" s="28"/>
      <c r="B37" s="320"/>
      <c r="C37" s="321"/>
      <c r="D37" s="321"/>
      <c r="E37" s="321"/>
      <c r="F37" s="321"/>
      <c r="G37" s="321"/>
      <c r="H37" s="321"/>
      <c r="I37" s="321"/>
      <c r="J37" s="321"/>
      <c r="K37" s="331"/>
      <c r="L37" s="322"/>
      <c r="M37" s="323"/>
      <c r="N37" s="324"/>
      <c r="O37" s="325"/>
      <c r="P37" s="328"/>
      <c r="Q37" s="326"/>
      <c r="R37" s="326"/>
      <c r="S37" s="326"/>
      <c r="T37" s="327"/>
      <c r="W37" s="131"/>
      <c r="X37" s="131"/>
    </row>
    <row r="38" spans="1:28" ht="24.75" customHeight="1">
      <c r="A38" s="28" t="s">
        <v>2</v>
      </c>
      <c r="B38" s="305" t="s">
        <v>109</v>
      </c>
      <c r="C38" s="306"/>
      <c r="D38" s="306"/>
      <c r="E38" s="306"/>
      <c r="F38" s="306"/>
      <c r="G38" s="306"/>
      <c r="H38" s="306"/>
      <c r="I38" s="306"/>
      <c r="J38" s="306"/>
      <c r="K38" s="306"/>
      <c r="L38" s="332" t="str">
        <f ca="1">IFERROR(IF($T38&gt;0,VLOOKUP($T38,Lookup_Tier1_Points,4),""),"")</f>
        <v/>
      </c>
      <c r="M38" s="307" t="str">
        <f ca="1">IFERROR(IF(T38&gt;=25%, "Points + 1 Exemplary",IF(L38&gt;0,"Points","")),"")</f>
        <v>Points</v>
      </c>
      <c r="N38" s="308">
        <f ca="1">IFERROR(X38/VLOOKUP(O38,Energy_Units_Table,2,FALSE),0)</f>
        <v>0</v>
      </c>
      <c r="O38" s="309" t="str">
        <f>$D$20</f>
        <v>MWh</v>
      </c>
      <c r="P38" s="329"/>
      <c r="Q38" s="310">
        <f ca="1">IFERROR(SUMIF($A$27:$A$36,1,Q$27:Q$36),"")</f>
        <v>0</v>
      </c>
      <c r="R38" s="311">
        <f t="shared" ref="R38:T38" ca="1" si="6">IFERROR(SUMIF($A$27:$A$36,1,R$27:R$36),"")</f>
        <v>0</v>
      </c>
      <c r="S38" s="312">
        <f t="shared" ca="1" si="6"/>
        <v>0</v>
      </c>
      <c r="T38" s="133">
        <f t="shared" ca="1" si="6"/>
        <v>0</v>
      </c>
      <c r="W38" s="131">
        <f ca="1">MIN(SUMIF($A$27:$A$36,1,$X$27:$X$36),W20)</f>
        <v>0</v>
      </c>
      <c r="X38" s="131">
        <f ca="1">MIN(SUMIF($A$27:$A$36,1,$X$27:$X$36),X20)</f>
        <v>0</v>
      </c>
    </row>
    <row r="39" spans="1:28" ht="24.75" customHeight="1">
      <c r="A39" s="28"/>
      <c r="B39" s="305" t="s">
        <v>110</v>
      </c>
      <c r="C39" s="306"/>
      <c r="D39" s="306"/>
      <c r="E39" s="306"/>
      <c r="F39" s="306"/>
      <c r="G39" s="306"/>
      <c r="H39" s="306"/>
      <c r="I39" s="306"/>
      <c r="J39" s="306"/>
      <c r="K39" s="306"/>
      <c r="L39" s="332" t="str">
        <f ca="1">IFERROR(IF($T39&gt;0,VLOOKUP($T39,Lookup_Tier2_Points,3),""),"")</f>
        <v/>
      </c>
      <c r="M39" s="307" t="str">
        <f ca="1">IFERROR(IF(T39&gt;=60%, "Points + 1 Exemplary",IF(L39&gt;0,"Points","")),"")</f>
        <v>Points</v>
      </c>
      <c r="N39" s="308">
        <f ca="1">IFERROR(X39/VLOOKUP(O39,Energy_Units_Table,2,FALSE),0)</f>
        <v>0</v>
      </c>
      <c r="O39" s="309" t="str">
        <f>$D$20</f>
        <v>MWh</v>
      </c>
      <c r="P39" s="329"/>
      <c r="Q39" s="310">
        <f ca="1">IFERROR(MIN(SUMIF($A$27:$A$36,2,Q$27:Q$36),100%-MIN(Q38,100%)),"")</f>
        <v>0</v>
      </c>
      <c r="R39" s="311">
        <f t="shared" ref="R39:T39" ca="1" si="7">IFERROR(MIN(SUMIF($A$27:$A$36,2,R$27:R$36),100%-MIN(R38,100%)),"")</f>
        <v>0</v>
      </c>
      <c r="S39" s="312">
        <f t="shared" ca="1" si="7"/>
        <v>0</v>
      </c>
      <c r="T39" s="133">
        <f t="shared" ca="1" si="7"/>
        <v>0</v>
      </c>
      <c r="W39" s="131">
        <f ca="1">SUMIF($A$27:$A$36,2,$X$27:$X$36)</f>
        <v>0</v>
      </c>
      <c r="X39" s="131">
        <f ca="1">SUMIF($A$27:$A$36,2,$X$27:$X$36)</f>
        <v>0</v>
      </c>
    </row>
    <row r="40" spans="1:28" ht="24.75" customHeight="1">
      <c r="A40" s="28"/>
      <c r="B40" s="313" t="s">
        <v>111</v>
      </c>
      <c r="C40" s="314"/>
      <c r="D40" s="314"/>
      <c r="E40" s="314"/>
      <c r="F40" s="314"/>
      <c r="G40" s="314"/>
      <c r="H40" s="314"/>
      <c r="I40" s="314"/>
      <c r="J40" s="314"/>
      <c r="K40" s="314"/>
      <c r="L40" s="332" t="str">
        <f ca="1">IFERROR(IF($T40&gt;0,VLOOKUP($T40,Lookup_Tier3_Points,2),""),"")</f>
        <v/>
      </c>
      <c r="M40" s="307" t="str">
        <f ca="1">IFERROR(IF(L40&gt;0,"Points",""),"")</f>
        <v>Points</v>
      </c>
      <c r="N40" s="315">
        <f ca="1">IFERROR(X40/VLOOKUP(O40,Energy_Units_Table,2,FALSE),0)</f>
        <v>0</v>
      </c>
      <c r="O40" s="316" t="str">
        <f>$D$20</f>
        <v>MWh</v>
      </c>
      <c r="P40" s="329"/>
      <c r="Q40" s="317">
        <f ca="1">IFERROR(MIN(SUMIF($A$27:$A$36,3,Q$27:Q$36),100%-MIN(Q39+Q38,100%)),"")</f>
        <v>0</v>
      </c>
      <c r="R40" s="318">
        <f t="shared" ref="R40:T40" ca="1" si="8">IFERROR(MIN(SUMIF($A$27:$A$36,3,R$27:R$36),100%-MIN(R39+R38,100%)),"")</f>
        <v>0</v>
      </c>
      <c r="S40" s="319">
        <f t="shared" ca="1" si="8"/>
        <v>0</v>
      </c>
      <c r="T40" s="134">
        <f t="shared" ca="1" si="8"/>
        <v>0</v>
      </c>
      <c r="W40" s="131">
        <f ca="1">SUMIF($A$27:$A$36,3,$X$27:$X$36)</f>
        <v>0</v>
      </c>
      <c r="X40" s="131">
        <f ca="1">SUMIF($A$27:$A$36,3,$X$27:$X$36)</f>
        <v>0</v>
      </c>
    </row>
    <row r="41" spans="1:28" ht="6.75" customHeight="1">
      <c r="A41" s="28"/>
      <c r="B41" s="320"/>
      <c r="C41" s="321"/>
      <c r="D41" s="321"/>
      <c r="E41" s="321"/>
      <c r="F41" s="321"/>
      <c r="G41" s="321"/>
      <c r="H41" s="321"/>
      <c r="I41" s="321"/>
      <c r="J41" s="321"/>
      <c r="K41" s="321"/>
      <c r="L41" s="333"/>
      <c r="M41" s="323"/>
      <c r="N41" s="324"/>
      <c r="O41" s="325"/>
      <c r="P41" s="328"/>
      <c r="Q41" s="326"/>
      <c r="R41" s="326"/>
      <c r="S41" s="326"/>
      <c r="T41" s="327"/>
      <c r="W41" s="131"/>
      <c r="X41" s="131"/>
    </row>
    <row r="42" spans="1:28" ht="24.75" customHeight="1">
      <c r="A42" s="28"/>
      <c r="B42" s="313" t="s">
        <v>316</v>
      </c>
      <c r="C42" s="314"/>
      <c r="D42" s="314"/>
      <c r="E42" s="314"/>
      <c r="F42" s="314"/>
      <c r="G42" s="314"/>
      <c r="H42" s="314"/>
      <c r="I42" s="314"/>
      <c r="J42" s="314"/>
      <c r="K42" s="314"/>
      <c r="L42" s="334">
        <f ca="1">IFERROR(MIN(ROUNDDOWN(SUM(L38:L40),0),5),"")</f>
        <v>0</v>
      </c>
      <c r="M42" s="307" t="str">
        <f ca="1">IFERROR(IF(OR(T38&gt;=25%,T39&gt;=60%),"Points + 1 Exemplary",IF(L42&gt;0,"Points","")),"")</f>
        <v/>
      </c>
      <c r="N42" s="315">
        <f ca="1">IFERROR(X42/VLOOKUP(O42,Energy_Units_Table,2,FALSE),0)</f>
        <v>0</v>
      </c>
      <c r="O42" s="316" t="str">
        <f>$D$20</f>
        <v>MWh</v>
      </c>
      <c r="P42" s="330"/>
      <c r="Q42" s="317">
        <f ca="1">IFERROR(MIN(SUMIF($A$27:$A$36,3,Q$27:Q$36),100%-MIN(Q40+Q39,100%)),"")</f>
        <v>0</v>
      </c>
      <c r="R42" s="318">
        <f ca="1">IFERROR(MIN(SUMIF($A$27:$A$36,3,R$27:R$36),100%-MIN(R40+R39,100%)),"")</f>
        <v>0</v>
      </c>
      <c r="S42" s="319">
        <f ca="1">IFERROR(MIN(SUMIF($A$27:$A$36,3,S$27:S$36),100%-MIN(S40+S39,100%)),"")</f>
        <v>0</v>
      </c>
      <c r="T42" s="134">
        <f ca="1">IFERROR(MIN(SUMIF($A$27:$A$36,3,T$27:T$36),100%-MIN(T40+T39,100%)),"")</f>
        <v>0</v>
      </c>
      <c r="W42" s="131">
        <f ca="1">SUMIF($A$27:$A$36,3,$X$27:$X$36)</f>
        <v>0</v>
      </c>
      <c r="X42" s="131">
        <f ca="1">SUMIF($A$27:$A$36,3,$X$27:$X$36)</f>
        <v>0</v>
      </c>
    </row>
    <row r="43" spans="1:28" ht="8.25" customHeight="1">
      <c r="B43" s="293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</row>
    <row r="44" spans="1:28" ht="10.5" customHeight="1">
      <c r="B44" s="293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</row>
    <row r="45" spans="1:28" ht="23.25" customHeight="1">
      <c r="B45" s="293" t="s">
        <v>122</v>
      </c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</row>
    <row r="46" spans="1:28" ht="23.25" customHeight="1">
      <c r="B46" s="295" t="s">
        <v>123</v>
      </c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</row>
    <row r="47" spans="1:28" ht="24" customHeight="1">
      <c r="B47" s="296" t="s">
        <v>124</v>
      </c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  <c r="T47" s="294"/>
    </row>
    <row r="48" spans="1:28" ht="12.75" customHeight="1">
      <c r="B48" s="295" t="s">
        <v>314</v>
      </c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</row>
    <row r="49" spans="2:20" ht="12.75" customHeight="1">
      <c r="B49" s="295" t="s">
        <v>135</v>
      </c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</row>
    <row r="50" spans="2:20" ht="12.75" customHeight="1">
      <c r="B50" s="295" t="s">
        <v>133</v>
      </c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</row>
    <row r="51" spans="2:20" ht="12.75" customHeight="1">
      <c r="B51" s="295" t="s">
        <v>134</v>
      </c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</row>
    <row r="52" spans="2:20" ht="12.75" customHeight="1">
      <c r="B52" s="295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</row>
    <row r="53" spans="2:20" ht="12.75" customHeight="1">
      <c r="B53" s="296" t="s">
        <v>146</v>
      </c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4"/>
      <c r="S53" s="294"/>
      <c r="T53" s="294"/>
    </row>
    <row r="54" spans="2:20" ht="12.75" customHeight="1">
      <c r="B54" s="295" t="s">
        <v>147</v>
      </c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</row>
    <row r="55" spans="2:20" ht="24" customHeight="1">
      <c r="B55" s="296" t="s">
        <v>125</v>
      </c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94"/>
      <c r="P55" s="294"/>
      <c r="Q55" s="294"/>
      <c r="R55" s="294"/>
      <c r="S55" s="294"/>
      <c r="T55" s="294"/>
    </row>
    <row r="56" spans="2:20" ht="12.75" customHeight="1">
      <c r="B56" s="295" t="s">
        <v>136</v>
      </c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</row>
    <row r="57" spans="2:20" ht="12.75" customHeight="1">
      <c r="B57" s="295" t="s">
        <v>137</v>
      </c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  <c r="O57" s="294"/>
      <c r="P57" s="294"/>
      <c r="Q57" s="294"/>
      <c r="R57" s="294"/>
      <c r="S57" s="294"/>
      <c r="T57" s="294"/>
    </row>
    <row r="58" spans="2:20" ht="12.75" customHeight="1">
      <c r="B58" s="295" t="s">
        <v>138</v>
      </c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</row>
    <row r="59" spans="2:20" ht="12.75" customHeight="1">
      <c r="B59" s="295" t="s">
        <v>132</v>
      </c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</row>
    <row r="60" spans="2:20" ht="12.75" customHeight="1">
      <c r="B60" s="295" t="s">
        <v>148</v>
      </c>
      <c r="C60" s="294"/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4"/>
      <c r="Q60" s="294"/>
      <c r="R60" s="294"/>
      <c r="S60" s="294"/>
      <c r="T60" s="294"/>
    </row>
    <row r="61" spans="2:20" ht="12.75" customHeight="1">
      <c r="B61" s="295" t="s">
        <v>149</v>
      </c>
      <c r="C61" s="294"/>
      <c r="D61" s="294"/>
      <c r="E61" s="294"/>
      <c r="F61" s="294"/>
      <c r="G61" s="294"/>
      <c r="H61" s="294"/>
      <c r="I61" s="294"/>
      <c r="J61" s="294"/>
      <c r="K61" s="294"/>
      <c r="L61" s="294"/>
      <c r="M61" s="294"/>
      <c r="N61" s="294"/>
      <c r="O61" s="294"/>
      <c r="P61" s="294"/>
      <c r="Q61" s="294"/>
      <c r="R61" s="294"/>
      <c r="S61" s="294"/>
      <c r="T61" s="294"/>
    </row>
    <row r="62" spans="2:20" ht="12.75" customHeight="1">
      <c r="B62" s="295" t="s">
        <v>300</v>
      </c>
      <c r="C62" s="294"/>
      <c r="D62" s="294"/>
      <c r="E62" s="294"/>
      <c r="F62" s="294"/>
      <c r="G62" s="294"/>
      <c r="H62" s="294"/>
      <c r="I62" s="294"/>
      <c r="J62" s="294"/>
      <c r="K62" s="294"/>
      <c r="L62" s="294"/>
      <c r="M62" s="294"/>
      <c r="N62" s="294"/>
      <c r="O62" s="294"/>
      <c r="P62" s="294"/>
      <c r="Q62" s="294"/>
      <c r="R62" s="294"/>
      <c r="S62" s="294"/>
      <c r="T62" s="294"/>
    </row>
    <row r="63" spans="2:20" ht="12.75" customHeight="1">
      <c r="B63" s="295" t="s">
        <v>301</v>
      </c>
      <c r="C63" s="294"/>
      <c r="D63" s="294"/>
      <c r="E63" s="294"/>
      <c r="F63" s="294"/>
      <c r="G63" s="294"/>
      <c r="H63" s="294"/>
      <c r="I63" s="294"/>
      <c r="J63" s="294"/>
      <c r="K63" s="294"/>
      <c r="L63" s="294"/>
      <c r="M63" s="294"/>
      <c r="N63" s="294"/>
      <c r="O63" s="294"/>
      <c r="P63" s="294"/>
      <c r="Q63" s="294"/>
      <c r="R63" s="294"/>
      <c r="S63" s="294"/>
      <c r="T63" s="294"/>
    </row>
    <row r="64" spans="2:20" ht="12.75" customHeight="1">
      <c r="B64" s="295" t="s">
        <v>302</v>
      </c>
      <c r="C64" s="294"/>
      <c r="D64" s="294"/>
      <c r="E64" s="294"/>
      <c r="F64" s="294"/>
      <c r="G64" s="294"/>
      <c r="H64" s="294"/>
      <c r="I64" s="294"/>
      <c r="J64" s="294"/>
      <c r="K64" s="294"/>
      <c r="L64" s="294"/>
      <c r="M64" s="294"/>
      <c r="N64" s="294"/>
      <c r="O64" s="294"/>
      <c r="P64" s="294"/>
      <c r="Q64" s="294"/>
      <c r="R64" s="294"/>
      <c r="S64" s="294"/>
      <c r="T64" s="294"/>
    </row>
    <row r="65" spans="2:20" ht="12.75" customHeight="1">
      <c r="B65" s="295" t="s">
        <v>303</v>
      </c>
      <c r="C65" s="294"/>
      <c r="D65" s="294"/>
      <c r="E65" s="294"/>
      <c r="F65" s="294"/>
      <c r="G65" s="294"/>
      <c r="H65" s="294"/>
      <c r="I65" s="294"/>
      <c r="J65" s="294"/>
      <c r="K65" s="294"/>
      <c r="L65" s="294"/>
      <c r="M65" s="294"/>
      <c r="N65" s="294"/>
      <c r="O65" s="294"/>
      <c r="P65" s="294"/>
      <c r="Q65" s="294"/>
      <c r="R65" s="294"/>
      <c r="S65" s="294"/>
      <c r="T65" s="294"/>
    </row>
    <row r="66" spans="2:20" ht="12.75" customHeight="1">
      <c r="B66" s="295" t="s">
        <v>307</v>
      </c>
      <c r="C66" s="294"/>
      <c r="D66" s="294"/>
      <c r="E66" s="294"/>
      <c r="F66" s="294"/>
      <c r="G66" s="294"/>
      <c r="H66" s="294"/>
      <c r="I66" s="294"/>
      <c r="J66" s="294"/>
      <c r="K66" s="294"/>
      <c r="L66" s="294"/>
      <c r="M66" s="294"/>
      <c r="N66" s="294"/>
      <c r="O66" s="294"/>
      <c r="P66" s="294"/>
      <c r="Q66" s="294"/>
      <c r="R66" s="294"/>
      <c r="S66" s="294"/>
      <c r="T66" s="294"/>
    </row>
    <row r="67" spans="2:20" ht="24" customHeight="1">
      <c r="B67" s="296" t="s">
        <v>269</v>
      </c>
      <c r="C67" s="294"/>
      <c r="D67" s="294"/>
      <c r="E67" s="294"/>
      <c r="F67" s="294"/>
      <c r="G67" s="294"/>
      <c r="H67" s="294"/>
      <c r="I67" s="294"/>
      <c r="J67" s="294"/>
      <c r="K67" s="294"/>
      <c r="L67" s="294"/>
      <c r="M67" s="294"/>
      <c r="N67" s="294"/>
      <c r="O67" s="294"/>
      <c r="P67" s="294"/>
      <c r="Q67" s="294"/>
      <c r="R67" s="294"/>
      <c r="S67" s="294"/>
      <c r="T67" s="294"/>
    </row>
    <row r="68" spans="2:20" ht="12.75" customHeight="1">
      <c r="B68" s="295" t="s">
        <v>304</v>
      </c>
      <c r="C68" s="294"/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294"/>
      <c r="P68" s="294"/>
      <c r="Q68" s="294"/>
      <c r="R68" s="294"/>
      <c r="S68" s="294"/>
      <c r="T68" s="294"/>
    </row>
    <row r="69" spans="2:20" ht="12.75" customHeight="1">
      <c r="B69" s="295" t="s">
        <v>275</v>
      </c>
      <c r="C69" s="294"/>
      <c r="D69" s="294"/>
      <c r="E69" s="294"/>
      <c r="F69" s="294"/>
      <c r="G69" s="294"/>
      <c r="H69" s="294"/>
      <c r="I69" s="294"/>
      <c r="J69" s="294"/>
      <c r="K69" s="294"/>
      <c r="L69" s="294"/>
      <c r="M69" s="294"/>
      <c r="N69" s="294"/>
      <c r="O69" s="294"/>
      <c r="P69" s="294"/>
      <c r="Q69" s="294"/>
      <c r="R69" s="294"/>
      <c r="S69" s="294"/>
      <c r="T69" s="294"/>
    </row>
    <row r="70" spans="2:20" ht="12.75" customHeight="1">
      <c r="B70" s="295" t="s">
        <v>276</v>
      </c>
      <c r="C70" s="294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4"/>
      <c r="Q70" s="294"/>
      <c r="R70" s="294"/>
      <c r="S70" s="294"/>
      <c r="T70" s="294"/>
    </row>
    <row r="71" spans="2:20" ht="12.75" customHeight="1">
      <c r="B71" s="295" t="s">
        <v>292</v>
      </c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</row>
    <row r="72" spans="2:20" ht="12.75" customHeight="1">
      <c r="B72" s="295" t="s">
        <v>293</v>
      </c>
      <c r="C72" s="294"/>
      <c r="D72" s="294"/>
      <c r="E72" s="294"/>
      <c r="F72" s="294"/>
      <c r="G72" s="294"/>
      <c r="H72" s="294"/>
      <c r="I72" s="294"/>
      <c r="J72" s="294"/>
      <c r="K72" s="294"/>
      <c r="L72" s="294"/>
      <c r="M72" s="294"/>
      <c r="N72" s="294"/>
      <c r="O72" s="294"/>
      <c r="P72" s="294"/>
      <c r="Q72" s="294"/>
      <c r="R72" s="294"/>
      <c r="S72" s="294"/>
      <c r="T72" s="294"/>
    </row>
    <row r="73" spans="2:20" ht="12.75" customHeight="1">
      <c r="B73" s="295" t="s">
        <v>272</v>
      </c>
      <c r="C73" s="294"/>
      <c r="D73" s="294"/>
      <c r="E73" s="294"/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</row>
    <row r="74" spans="2:20" ht="12.75" customHeight="1">
      <c r="B74" s="295" t="s">
        <v>277</v>
      </c>
      <c r="C74" s="294"/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</row>
    <row r="75" spans="2:20" ht="12.75" customHeight="1">
      <c r="B75" s="295" t="s">
        <v>271</v>
      </c>
      <c r="C75" s="294"/>
      <c r="D75" s="294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</row>
    <row r="76" spans="2:20" ht="12.75" customHeight="1">
      <c r="B76" s="295" t="s">
        <v>325</v>
      </c>
      <c r="C76" s="294"/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</row>
    <row r="77" spans="2:20" ht="12.75" customHeight="1">
      <c r="B77" s="295" t="s">
        <v>273</v>
      </c>
      <c r="C77" s="294"/>
      <c r="D77" s="294"/>
      <c r="E77" s="294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94"/>
      <c r="T77" s="294"/>
    </row>
    <row r="78" spans="2:20" ht="12.75" customHeight="1">
      <c r="B78" s="295" t="s">
        <v>274</v>
      </c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</row>
    <row r="79" spans="2:20" ht="12.75" customHeight="1">
      <c r="B79" s="295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</row>
    <row r="80" spans="2:20" ht="12.75" customHeight="1">
      <c r="B80" s="296" t="s">
        <v>143</v>
      </c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</row>
    <row r="81" spans="1:20" ht="12.75" customHeight="1">
      <c r="B81" s="295" t="s">
        <v>144</v>
      </c>
      <c r="C81" s="294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294"/>
      <c r="R81" s="294"/>
      <c r="S81" s="294"/>
      <c r="T81" s="294"/>
    </row>
    <row r="82" spans="1:20" ht="12.75" customHeight="1">
      <c r="B82" s="295" t="s">
        <v>145</v>
      </c>
      <c r="C82" s="294"/>
      <c r="D82" s="294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</row>
    <row r="83" spans="1:20" ht="12.75" customHeight="1">
      <c r="B83" s="295" t="s">
        <v>299</v>
      </c>
      <c r="C83" s="294"/>
      <c r="D83" s="294"/>
      <c r="E83" s="294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  <c r="S83" s="294"/>
      <c r="T83" s="294"/>
    </row>
    <row r="84" spans="1:20" ht="12.75" customHeight="1">
      <c r="B84" s="297" t="s">
        <v>270</v>
      </c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</row>
    <row r="85" spans="1:20" ht="12.75" customHeight="1">
      <c r="B85" s="297" t="s">
        <v>140</v>
      </c>
      <c r="C85" s="294"/>
      <c r="D85" s="294"/>
      <c r="E85" s="294"/>
      <c r="F85" s="294"/>
      <c r="G85" s="294"/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94"/>
      <c r="S85" s="294"/>
      <c r="T85" s="294"/>
    </row>
    <row r="86" spans="1:20" ht="12.75" customHeight="1">
      <c r="B86" s="297" t="s">
        <v>141</v>
      </c>
      <c r="C86" s="294"/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</row>
    <row r="87" spans="1:20" ht="12.75" customHeight="1">
      <c r="A87" s="89"/>
      <c r="B87" s="297" t="s">
        <v>142</v>
      </c>
      <c r="C87" s="294"/>
      <c r="D87" s="294"/>
      <c r="E87" s="294"/>
      <c r="F87" s="294"/>
      <c r="G87" s="294"/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</row>
    <row r="88" spans="1:20" ht="12.75" customHeight="1">
      <c r="A88" s="89"/>
      <c r="B88" s="297"/>
      <c r="C88" s="294"/>
      <c r="D88" s="294"/>
      <c r="E88" s="294"/>
      <c r="F88" s="294"/>
      <c r="G88" s="294"/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</row>
    <row r="89" spans="1:20" ht="12.75" customHeight="1">
      <c r="A89" s="89"/>
      <c r="B89" s="296" t="s">
        <v>278</v>
      </c>
      <c r="C89" s="294"/>
      <c r="D89" s="294"/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</row>
    <row r="90" spans="1:20" ht="12.75" customHeight="1">
      <c r="A90" s="89"/>
      <c r="B90" s="296" t="s">
        <v>288</v>
      </c>
      <c r="C90" s="294"/>
      <c r="D90" s="294"/>
      <c r="E90" s="294"/>
      <c r="F90" s="294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</row>
    <row r="91" spans="1:20" ht="12.75" customHeight="1">
      <c r="A91" s="89"/>
      <c r="B91" s="296" t="s">
        <v>280</v>
      </c>
      <c r="C91" s="294"/>
      <c r="D91" s="294"/>
      <c r="E91" s="294"/>
      <c r="F91" s="294"/>
      <c r="G91" s="294"/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</row>
    <row r="92" spans="1:20" ht="12.75" customHeight="1">
      <c r="A92" s="89"/>
      <c r="B92" s="296" t="s">
        <v>281</v>
      </c>
      <c r="C92" s="294"/>
      <c r="D92" s="294"/>
      <c r="E92" s="294"/>
      <c r="F92" s="294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</row>
    <row r="93" spans="1:20" ht="12.75" customHeight="1">
      <c r="A93" s="89"/>
      <c r="B93" s="296" t="s">
        <v>305</v>
      </c>
      <c r="C93" s="294"/>
      <c r="D93" s="294"/>
      <c r="E93" s="294"/>
      <c r="F93" s="294"/>
      <c r="G93" s="294"/>
      <c r="H93" s="294"/>
      <c r="I93" s="294"/>
      <c r="J93" s="294"/>
      <c r="K93" s="294"/>
      <c r="L93" s="294"/>
      <c r="M93" s="294"/>
      <c r="N93" s="294"/>
      <c r="O93" s="294"/>
      <c r="P93" s="294"/>
      <c r="Q93" s="294"/>
      <c r="R93" s="294"/>
      <c r="S93" s="294"/>
      <c r="T93" s="294"/>
    </row>
    <row r="94" spans="1:20" ht="12.75" customHeight="1">
      <c r="A94" s="89"/>
      <c r="B94" s="296" t="s">
        <v>282</v>
      </c>
      <c r="C94" s="294"/>
      <c r="D94" s="294"/>
      <c r="E94" s="294"/>
      <c r="F94" s="294"/>
      <c r="G94" s="294"/>
      <c r="H94" s="294"/>
      <c r="I94" s="294"/>
      <c r="J94" s="294"/>
      <c r="K94" s="294"/>
      <c r="L94" s="294"/>
      <c r="M94" s="294"/>
      <c r="N94" s="294"/>
      <c r="O94" s="294"/>
      <c r="P94" s="294"/>
      <c r="Q94" s="294"/>
      <c r="R94" s="294"/>
      <c r="S94" s="294"/>
      <c r="T94" s="294"/>
    </row>
    <row r="95" spans="1:20" ht="12.75" customHeight="1">
      <c r="A95" s="89"/>
      <c r="B95" s="296" t="s">
        <v>283</v>
      </c>
      <c r="C95" s="294"/>
      <c r="D95" s="294"/>
      <c r="E95" s="294"/>
      <c r="F95" s="294"/>
      <c r="G95" s="294"/>
      <c r="H95" s="294"/>
      <c r="I95" s="294"/>
      <c r="J95" s="294"/>
      <c r="K95" s="294"/>
      <c r="L95" s="294"/>
      <c r="M95" s="294"/>
      <c r="N95" s="294"/>
      <c r="O95" s="294"/>
      <c r="P95" s="294"/>
      <c r="Q95" s="294"/>
      <c r="R95" s="294"/>
      <c r="S95" s="294"/>
      <c r="T95" s="294"/>
    </row>
    <row r="96" spans="1:20" ht="12.75" customHeight="1">
      <c r="A96" s="89"/>
      <c r="B96" s="296" t="s">
        <v>306</v>
      </c>
      <c r="C96" s="294"/>
      <c r="D96" s="294"/>
      <c r="E96" s="294"/>
      <c r="F96" s="294"/>
      <c r="G96" s="294"/>
      <c r="H96" s="294"/>
      <c r="I96" s="294"/>
      <c r="J96" s="294"/>
      <c r="K96" s="294"/>
      <c r="L96" s="294"/>
      <c r="M96" s="294"/>
      <c r="N96" s="294"/>
      <c r="O96" s="294"/>
      <c r="P96" s="294"/>
      <c r="Q96" s="294"/>
      <c r="R96" s="294"/>
      <c r="S96" s="294"/>
      <c r="T96" s="294"/>
    </row>
    <row r="97" spans="1:20" ht="12.75" customHeight="1">
      <c r="A97" s="89"/>
      <c r="B97" s="296" t="s">
        <v>327</v>
      </c>
      <c r="C97" s="294"/>
      <c r="D97" s="294"/>
      <c r="E97" s="294"/>
      <c r="F97" s="294"/>
      <c r="G97" s="294"/>
      <c r="H97" s="294"/>
      <c r="I97" s="294"/>
      <c r="J97" s="294"/>
      <c r="K97" s="294"/>
      <c r="L97" s="294"/>
      <c r="M97" s="294"/>
      <c r="N97" s="294"/>
      <c r="O97" s="294"/>
      <c r="P97" s="294"/>
      <c r="Q97" s="294"/>
      <c r="R97" s="294"/>
      <c r="S97" s="294"/>
      <c r="T97" s="294"/>
    </row>
    <row r="98" spans="1:20" ht="12.75" customHeight="1">
      <c r="A98" s="89"/>
      <c r="B98" s="298" t="s">
        <v>326</v>
      </c>
      <c r="C98" s="294"/>
      <c r="D98" s="294"/>
      <c r="E98" s="294"/>
      <c r="F98" s="294"/>
      <c r="G98" s="294"/>
      <c r="H98" s="294"/>
      <c r="I98" s="294"/>
      <c r="J98" s="294"/>
      <c r="K98" s="294"/>
      <c r="L98" s="294"/>
      <c r="M98" s="294"/>
      <c r="N98" s="294"/>
      <c r="O98" s="294"/>
      <c r="P98" s="294"/>
      <c r="Q98" s="294"/>
      <c r="R98" s="294"/>
      <c r="S98" s="294"/>
      <c r="T98" s="294"/>
    </row>
    <row r="99" spans="1:20" ht="12.75" customHeight="1">
      <c r="A99" s="89"/>
      <c r="B99" s="296" t="s">
        <v>284</v>
      </c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  <c r="O99" s="294"/>
      <c r="P99" s="294"/>
      <c r="Q99" s="294"/>
      <c r="R99" s="294"/>
      <c r="S99" s="294"/>
      <c r="T99" s="294"/>
    </row>
    <row r="100" spans="1:20" ht="12.75" customHeight="1">
      <c r="A100" s="89"/>
      <c r="B100" s="296" t="s">
        <v>285</v>
      </c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  <c r="O100" s="294"/>
      <c r="P100" s="294"/>
      <c r="Q100" s="294"/>
      <c r="R100" s="294"/>
      <c r="S100" s="294"/>
      <c r="T100" s="294"/>
    </row>
    <row r="101" spans="1:20" ht="12.75" customHeight="1">
      <c r="A101" s="89"/>
      <c r="B101" s="295" t="s">
        <v>286</v>
      </c>
      <c r="C101" s="294"/>
      <c r="D101" s="294"/>
      <c r="E101" s="294"/>
      <c r="F101" s="294"/>
      <c r="G101" s="294"/>
      <c r="H101" s="294"/>
      <c r="I101" s="294"/>
      <c r="J101" s="294"/>
      <c r="K101" s="294"/>
      <c r="L101" s="294"/>
      <c r="M101" s="294"/>
      <c r="N101" s="294"/>
      <c r="O101" s="294"/>
      <c r="P101" s="294"/>
      <c r="Q101" s="294"/>
      <c r="R101" s="294"/>
      <c r="S101" s="294"/>
      <c r="T101" s="294"/>
    </row>
    <row r="102" spans="1:20" ht="12.75" customHeight="1">
      <c r="A102" s="89"/>
      <c r="B102" s="296" t="s">
        <v>287</v>
      </c>
      <c r="C102" s="294"/>
      <c r="D102" s="294"/>
      <c r="E102" s="294"/>
      <c r="F102" s="294"/>
      <c r="G102" s="294"/>
      <c r="H102" s="294"/>
      <c r="I102" s="294"/>
      <c r="J102" s="294"/>
      <c r="K102" s="294"/>
      <c r="L102" s="294"/>
      <c r="M102" s="294"/>
      <c r="N102" s="294"/>
      <c r="O102" s="294"/>
      <c r="P102" s="294"/>
      <c r="Q102" s="294"/>
      <c r="R102" s="294"/>
      <c r="S102" s="294"/>
      <c r="T102" s="294"/>
    </row>
    <row r="103" spans="1:20" ht="12.75" customHeight="1">
      <c r="A103" s="89"/>
      <c r="B103" s="297" t="s">
        <v>291</v>
      </c>
      <c r="C103" s="294"/>
      <c r="D103" s="294"/>
      <c r="E103" s="294"/>
      <c r="F103" s="294"/>
      <c r="G103" s="294"/>
      <c r="H103" s="294"/>
      <c r="I103" s="294"/>
      <c r="J103" s="294"/>
      <c r="K103" s="294"/>
      <c r="L103" s="294"/>
      <c r="M103" s="294"/>
      <c r="N103" s="294"/>
      <c r="O103" s="294"/>
      <c r="P103" s="294"/>
      <c r="Q103" s="294"/>
      <c r="R103" s="294"/>
      <c r="S103" s="294"/>
      <c r="T103" s="294"/>
    </row>
    <row r="104" spans="1:20" ht="12.75" customHeight="1">
      <c r="A104" s="89"/>
      <c r="B104" s="299" t="s">
        <v>289</v>
      </c>
      <c r="C104" s="294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  <c r="O104" s="294"/>
      <c r="P104" s="294"/>
      <c r="Q104" s="294"/>
      <c r="R104" s="294"/>
      <c r="S104" s="294"/>
      <c r="T104" s="294"/>
    </row>
    <row r="105" spans="1:20" ht="12.75" customHeight="1">
      <c r="A105" s="89"/>
      <c r="B105" s="297" t="s">
        <v>290</v>
      </c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  <c r="O105" s="294"/>
      <c r="P105" s="294"/>
      <c r="Q105" s="294"/>
      <c r="R105" s="294"/>
      <c r="S105" s="294"/>
      <c r="T105" s="294"/>
    </row>
    <row r="106" spans="1:20" ht="12.75" customHeight="1">
      <c r="A106" s="89"/>
      <c r="B106" s="300" t="s">
        <v>279</v>
      </c>
      <c r="C106" s="294"/>
      <c r="D106" s="294"/>
      <c r="E106" s="294"/>
      <c r="F106" s="294"/>
      <c r="G106" s="294"/>
      <c r="H106" s="294"/>
      <c r="I106" s="294"/>
      <c r="J106" s="294"/>
      <c r="K106" s="294"/>
      <c r="L106" s="294"/>
      <c r="M106" s="294"/>
      <c r="N106" s="294"/>
      <c r="O106" s="294"/>
      <c r="P106" s="294"/>
      <c r="Q106" s="294"/>
      <c r="R106" s="294"/>
      <c r="S106" s="294"/>
      <c r="T106" s="294"/>
    </row>
    <row r="107" spans="1:20">
      <c r="B107" s="301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  <c r="O107" s="294"/>
      <c r="P107" s="294"/>
      <c r="Q107" s="294"/>
      <c r="R107" s="294"/>
      <c r="S107" s="294"/>
      <c r="T107" s="294"/>
    </row>
  </sheetData>
  <sheetProtection algorithmName="SHA-512" hashValue="w/lwb/J6ln0FzNDhuJ6IztluCda4ERqdoV7P0QGajQP21LuW93IgwBUG9NsfyllvW4OoZi+Q+oumDexuon9OhA==" saltValue="LHxczaLaxrwQ3HdlGF2/lQ==" spinCount="100000" sheet="1" formatRows="0" insertRows="0"/>
  <mergeCells count="10">
    <mergeCell ref="J25:J26"/>
    <mergeCell ref="D25:D26"/>
    <mergeCell ref="C25:C26"/>
    <mergeCell ref="G25:G26"/>
    <mergeCell ref="B11:B12"/>
    <mergeCell ref="B25:B26"/>
    <mergeCell ref="E25:E26"/>
    <mergeCell ref="F25:F26"/>
    <mergeCell ref="I25:I26"/>
    <mergeCell ref="H25:H26"/>
  </mergeCells>
  <conditionalFormatting sqref="D27:D36">
    <cfRule type="expression" dxfId="3" priority="1">
      <formula>IFERROR(IF(ISBLANK($C27),FALSE,IF(VLOOKUP($C27,Renewable_Source_Table,2,FALSE)=$D27,FALSE,TRUE)),TRUE)</formula>
    </cfRule>
  </conditionalFormatting>
  <dataValidations count="17">
    <dataValidation operator="greaterThanOrEqual" allowBlank="1" showInputMessage="1" showErrorMessage="1" sqref="P27:P36 K27:K36" xr:uid="{00000000-0002-0000-0200-000006000000}"/>
    <dataValidation type="list" errorStyle="warning" allowBlank="1" showInputMessage="1" showErrorMessage="1" errorTitle="Invalid Category" error="An invalid category was entered. Enter &quot;No&quot; to select from the LEED Tiers._x000a_" sqref="B27:B36" xr:uid="{55AA8D4A-BAAD-461B-8455-3E177EDDBB85}">
      <formula1>LEED_Renewable_Category</formula1>
    </dataValidation>
    <dataValidation type="list" allowBlank="1" sqref="C27:C36" xr:uid="{15CB5E21-7A91-4C2B-BE9A-BB595F209C4F}">
      <formula1>IF($A27="1",Tier1_Renewable_Type,IF($A27="2",Tier2_Renewable_Type,IF($A27="3",Tier3_Renewable_Type,Tier2_Renewable_Type)))</formula1>
    </dataValidation>
    <dataValidation type="list" allowBlank="1" showInputMessage="1" showErrorMessage="1" sqref="D27:D36" xr:uid="{FDC704D9-BBD8-4FEE-BA07-0B035812DE97}">
      <formula1>"+Default_Gen_Type,Electricity,Thermal,Fossil Fuel"</formula1>
    </dataValidation>
    <dataValidation type="list" allowBlank="1" showInputMessage="1" sqref="E27:E36" xr:uid="{7CAD40AD-9DE2-42B4-AC34-949AB97449B9}">
      <formula1>IF($A27="1",Tier1_Procurement_Type,IF($A27="2",Tier2_Procurement_Type,IF($A27="3",Tier3_Procurement_Type,Tier2_Procurement_Type)))</formula1>
    </dataValidation>
    <dataValidation type="list" allowBlank="1" showInputMessage="1" sqref="F27:F36" xr:uid="{22DB2C6C-A23F-446B-85BA-C26669E5A234}">
      <formula1>IF($E27="Owned",NA_owned,Select_Contract_Length)</formula1>
    </dataValidation>
    <dataValidation type="list" errorStyle="warning" allowBlank="1" showInputMessage="1" showErrorMessage="1" sqref="D13" xr:uid="{4EFF2A9B-4CE4-439A-B584-4BC48EDED278}">
      <formula1>"+Default_Elec_Units,kWh,MWh,kBtu,therm,Btu x 10^6,MJ,Ton Hours"</formula1>
    </dataValidation>
    <dataValidation type="list" errorStyle="warning" allowBlank="1" showInputMessage="1" showErrorMessage="1" sqref="D14" xr:uid="{FACCCF3F-B9E6-4261-9F6F-77E8E4AE6A2D}">
      <formula1>"+Default_Fuel_Units,kWh,MWh,kBtu,therm,Btu x 10^6,MJ,Ton Hours"</formula1>
    </dataValidation>
    <dataValidation type="list" errorStyle="warning" allowBlank="1" showInputMessage="1" showErrorMessage="1" sqref="D15" xr:uid="{2E096B80-314E-49D2-B3A7-C94D087F668A}">
      <formula1>"+Default_Cooling_Units,kWh,MWh,kBtu,therm,Btu x 10^6,MJ,Ton Hours"</formula1>
    </dataValidation>
    <dataValidation type="list" errorStyle="warning" allowBlank="1" showInputMessage="1" showErrorMessage="1" sqref="D16" xr:uid="{49760988-8556-470A-A934-5A0BA59EC177}">
      <formula1>"+Default_Heating_Units,kWh,MWh,kBtu,therm,Btu x 10^6,MJ,Ton Hours"</formula1>
    </dataValidation>
    <dataValidation type="list" errorStyle="warning" allowBlank="1" showInputMessage="1" showErrorMessage="1" sqref="D17:D20" xr:uid="{0ACCBCDC-E576-4EC4-A74A-61EF753A3491}">
      <formula1>"+Default_Total_Units,kWh,MWh,kBtu,therm,Btu x 10^6,MJ,Ton Hours"</formula1>
    </dataValidation>
    <dataValidation type="list" errorStyle="warning" allowBlank="1" showInputMessage="1" showErrorMessage="1" sqref="O27:O36" xr:uid="{0B0B2F80-817F-469E-98B6-41FD3CE2068D}">
      <formula1>"+Default_Renewable_Units,kWh,MWh,kBtu,therm,Btu x 10^6,MJ,Ton Hours"</formula1>
    </dataValidation>
    <dataValidation type="list" allowBlank="1" showInputMessage="1" showErrorMessage="1" sqref="J27:J36" xr:uid="{031A0DEC-6A2F-4F78-8A64-F92A12B2EFAB}">
      <formula1>"Yes,No"</formula1>
    </dataValidation>
    <dataValidation type="list" allowBlank="1" sqref="G27:G36" xr:uid="{31CBE51A-212F-4547-AE57-DEEA01408494}">
      <formula1>IF($A27="1",Tier1_Location_List,Tier2_3_Location_List)</formula1>
    </dataValidation>
    <dataValidation type="list" allowBlank="1" showInputMessage="1" sqref="C13" xr:uid="{9BD18D44-887F-47B7-80BB-F9C11FAC91E0}">
      <formula1>"+Default_Electricity_No_Model"</formula1>
    </dataValidation>
    <dataValidation type="list" allowBlank="1" showInputMessage="1" sqref="C14" xr:uid="{29AD0D3E-1162-4ADC-88B4-50461FEAAC80}">
      <formula1>"+Default_Fuel_No_Model"</formula1>
    </dataValidation>
    <dataValidation type="list" allowBlank="1" showInputMessage="1" sqref="H27:H36" xr:uid="{2B1F3C01-3C53-4AB4-B0E9-27B28C5AFEF2}">
      <formula1>IF($E27="Owned",NA_owned,Contract_Date_List)</formula1>
    </dataValidation>
  </dataValidations>
  <hyperlinks>
    <hyperlink ref="B106" r:id="rId1" display="(https://www.green-e.org/docs/energy/framework/Green-e%20Framework%20for%20Renewable%20Energy%20Certification.pdf)" xr:uid="{01EE7A3A-63F9-40F0-8A2A-09D718F8E4C1}"/>
  </hyperlinks>
  <pageMargins left="0.75" right="0.75" top="1" bottom="1" header="0.5" footer="0.5"/>
  <pageSetup orientation="portrait" r:id="rId2"/>
  <headerFooter alignWithMargins="0"/>
  <extLst>
    <ext xmlns="http://schemas.openxmlformats.org/spreadsheetml/2006/main"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234A-3864-4884-8EB5-A2290C49EDB6}">
  <sheetPr codeName="Sheet2"/>
  <dimension ref="A1:X131"/>
  <sheetViews>
    <sheetView showGridLines="0" workbookViewId="0">
      <pane xSplit="3" ySplit="4" topLeftCell="D5" activePane="bottomRight" state="frozen"/>
      <selection activeCell="S20" sqref="S20"/>
      <selection pane="topRight" activeCell="S20" sqref="S20"/>
      <selection pane="bottomLeft" activeCell="S20" sqref="S20"/>
      <selection pane="bottomRight" activeCell="B14" sqref="B14:C14"/>
    </sheetView>
  </sheetViews>
  <sheetFormatPr defaultColWidth="9.140625" defaultRowHeight="15"/>
  <cols>
    <col min="1" max="1" width="9.140625" style="84"/>
    <col min="2" max="2" width="30.7109375" style="84" bestFit="1" customWidth="1"/>
    <col min="3" max="3" width="27.7109375" style="88" customWidth="1"/>
    <col min="4" max="5" width="12" style="143" customWidth="1"/>
    <col min="6" max="6" width="1.42578125" style="84" customWidth="1"/>
    <col min="7" max="8" width="11.85546875" style="84" customWidth="1"/>
    <col min="9" max="9" width="1.7109375" style="84" customWidth="1"/>
    <col min="10" max="10" width="12.140625" style="84" customWidth="1"/>
    <col min="11" max="11" width="12.5703125" style="84" customWidth="1"/>
    <col min="12" max="12" width="1" style="84" customWidth="1"/>
    <col min="13" max="14" width="11.42578125" style="84" customWidth="1"/>
    <col min="15" max="15" width="2.140625" style="84" customWidth="1"/>
    <col min="16" max="18" width="11.42578125" style="84" customWidth="1"/>
    <col min="19" max="20" width="9.140625" style="84"/>
    <col min="21" max="21" width="10.7109375" style="84" hidden="1" customWidth="1"/>
    <col min="22" max="16384" width="9.140625" style="84"/>
  </cols>
  <sheetData>
    <row r="1" spans="1:24" s="30" customFormat="1" ht="15" customHeight="1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29"/>
      <c r="T1" s="29"/>
      <c r="U1" s="29"/>
      <c r="V1" s="29"/>
      <c r="W1" s="29"/>
    </row>
    <row r="2" spans="1:24" s="30" customFormat="1" ht="21" customHeight="1">
      <c r="A2" s="71"/>
      <c r="B2" s="72" t="s">
        <v>15</v>
      </c>
      <c r="C2" s="72"/>
      <c r="D2" s="72"/>
      <c r="E2" s="72"/>
      <c r="F2" s="72"/>
      <c r="G2" s="72"/>
      <c r="H2" s="72"/>
      <c r="I2" s="72"/>
      <c r="J2" s="73"/>
      <c r="K2" s="72"/>
      <c r="L2" s="72"/>
      <c r="M2" s="72"/>
      <c r="N2" s="72"/>
      <c r="O2" s="72"/>
      <c r="P2" s="72"/>
      <c r="Q2" s="72"/>
      <c r="R2" s="72"/>
      <c r="S2" s="31"/>
      <c r="T2" s="31"/>
      <c r="U2" s="31"/>
      <c r="V2" s="31"/>
      <c r="W2" s="31"/>
    </row>
    <row r="3" spans="1:24" s="30" customFormat="1" ht="15" customHeight="1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29"/>
      <c r="T3" s="29"/>
      <c r="U3" s="29"/>
      <c r="V3" s="29"/>
      <c r="W3" s="29"/>
    </row>
    <row r="4" spans="1:24" s="30" customFormat="1" ht="15" customHeight="1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29"/>
      <c r="T4" s="29"/>
      <c r="U4" s="29"/>
      <c r="V4" s="29"/>
      <c r="W4" s="29"/>
    </row>
    <row r="5" spans="1:24">
      <c r="A5" s="152"/>
      <c r="B5" s="150"/>
      <c r="C5" s="151"/>
      <c r="D5" s="153"/>
      <c r="E5" s="153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86"/>
      <c r="T5" s="86"/>
      <c r="U5" s="86"/>
      <c r="V5" s="86"/>
      <c r="W5" s="86"/>
      <c r="X5" s="86"/>
    </row>
    <row r="6" spans="1:24">
      <c r="A6" s="152"/>
      <c r="B6" s="150"/>
      <c r="C6" s="151"/>
      <c r="D6" s="153"/>
      <c r="E6" s="153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86"/>
      <c r="T6" s="86"/>
      <c r="U6" s="86"/>
      <c r="V6" s="86"/>
      <c r="W6" s="86"/>
      <c r="X6" s="86"/>
    </row>
    <row r="7" spans="1:24" ht="24.75" customHeight="1">
      <c r="A7" s="152"/>
      <c r="B7" s="216" t="s">
        <v>238</v>
      </c>
      <c r="C7" s="213"/>
      <c r="D7" s="214"/>
      <c r="E7" s="214"/>
      <c r="F7" s="215"/>
      <c r="G7" s="215"/>
      <c r="H7" s="215"/>
      <c r="I7" s="215"/>
      <c r="J7" s="215"/>
      <c r="K7" s="345" t="s">
        <v>118</v>
      </c>
      <c r="L7" s="152"/>
      <c r="M7" s="152"/>
      <c r="N7" s="152"/>
      <c r="O7" s="152"/>
      <c r="P7" s="152"/>
      <c r="Q7" s="152"/>
      <c r="R7" s="152"/>
      <c r="S7" s="86"/>
      <c r="T7" s="86"/>
      <c r="U7" s="86"/>
      <c r="V7" s="86"/>
      <c r="W7" s="86"/>
      <c r="X7" s="86"/>
    </row>
    <row r="8" spans="1:24">
      <c r="A8" s="152"/>
      <c r="B8" s="150"/>
      <c r="C8" s="151"/>
      <c r="D8" s="153"/>
      <c r="E8" s="153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86"/>
      <c r="T8" s="86"/>
      <c r="U8" s="86"/>
      <c r="V8" s="86"/>
      <c r="W8" s="86"/>
      <c r="X8" s="86"/>
    </row>
    <row r="9" spans="1:24">
      <c r="A9" s="152"/>
      <c r="B9" s="150" t="s">
        <v>236</v>
      </c>
      <c r="C9" s="151"/>
      <c r="D9" s="153"/>
      <c r="E9" s="153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86"/>
      <c r="T9" s="86"/>
      <c r="U9" s="86"/>
      <c r="V9" s="86"/>
      <c r="W9" s="86"/>
      <c r="X9" s="86"/>
    </row>
    <row r="10" spans="1:24">
      <c r="A10" s="152"/>
      <c r="B10" s="158" t="s">
        <v>294</v>
      </c>
      <c r="C10" s="151"/>
      <c r="D10" s="153"/>
      <c r="E10" s="153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86"/>
      <c r="T10" s="86"/>
      <c r="U10" s="86"/>
      <c r="V10" s="86"/>
      <c r="W10" s="86"/>
      <c r="X10" s="86"/>
    </row>
    <row r="11" spans="1:24">
      <c r="A11" s="152"/>
      <c r="B11" s="158"/>
      <c r="C11" s="151"/>
      <c r="D11" s="153"/>
      <c r="E11" s="153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86"/>
      <c r="T11" s="86"/>
      <c r="U11" s="86"/>
      <c r="V11" s="86"/>
      <c r="W11" s="86"/>
      <c r="X11" s="86"/>
    </row>
    <row r="12" spans="1:24" ht="19.5" customHeight="1">
      <c r="A12" s="152"/>
      <c r="B12" s="382" t="s">
        <v>308</v>
      </c>
      <c r="C12" s="383"/>
      <c r="D12" s="387" t="s">
        <v>237</v>
      </c>
      <c r="E12" s="383"/>
      <c r="F12" s="249"/>
      <c r="G12" s="226" t="s">
        <v>239</v>
      </c>
      <c r="H12" s="219"/>
      <c r="I12" s="249"/>
      <c r="J12" s="219" t="s">
        <v>240</v>
      </c>
      <c r="K12" s="219"/>
      <c r="L12" s="219"/>
      <c r="M12" s="219"/>
      <c r="N12" s="220"/>
      <c r="O12" s="152"/>
      <c r="P12" s="152"/>
      <c r="Q12" s="152"/>
      <c r="R12" s="152"/>
      <c r="S12" s="86"/>
      <c r="T12" s="86"/>
      <c r="U12" s="86"/>
      <c r="V12" s="86"/>
      <c r="W12" s="86"/>
      <c r="X12" s="86"/>
    </row>
    <row r="13" spans="1:24" ht="30">
      <c r="A13" s="152"/>
      <c r="B13" s="384"/>
      <c r="C13" s="385"/>
      <c r="D13" s="386" t="str">
        <f>IF(IP_SI_Units="IP Units","(square feet)","(square meters)")</f>
        <v>(square meters)</v>
      </c>
      <c r="E13" s="385"/>
      <c r="F13" s="250"/>
      <c r="G13" s="217" t="str">
        <f>CONCATENATE("Electricity ", IF(IP_SI_Units="IP Units","(kWh/ft2)","(kWh/m2)"))</f>
        <v>Electricity (kWh/m2)</v>
      </c>
      <c r="H13" s="218" t="str">
        <f>CONCATENATE("Natural Gas ", IF(IP_SI_Units="IP Units","(kBtu/ft2)","(kWh/m2)"))</f>
        <v>Natural Gas (kWh/m2)</v>
      </c>
      <c r="I13" s="250"/>
      <c r="J13" s="231" t="str">
        <f>CONCATENATE("Electricity ", IF(IP_SI_Units="IP Units","(kWh)","(kWh)"))</f>
        <v>Electricity (kWh)</v>
      </c>
      <c r="K13" s="232" t="str">
        <f>CONCATENATE("Natural Gas ", IF(IP_SI_Units="IP Units","(therms)","(kWh)"))</f>
        <v>Natural Gas (kWh)</v>
      </c>
      <c r="L13" s="221"/>
      <c r="M13" s="222" t="str">
        <f>CONCATENATE("Total ", IF(IP_SI_Units="IP Units","(kBtu x 10^6)","(MWh)"))</f>
        <v>Total (MWh)</v>
      </c>
      <c r="N13" s="223"/>
      <c r="O13" s="152"/>
      <c r="P13" s="152"/>
      <c r="Q13" s="152"/>
      <c r="R13" s="152"/>
      <c r="S13" s="86"/>
      <c r="T13" s="86"/>
      <c r="U13" s="86"/>
      <c r="V13" s="86"/>
      <c r="W13" s="86"/>
      <c r="X13" s="86"/>
    </row>
    <row r="14" spans="1:24">
      <c r="A14" s="152"/>
      <c r="B14" s="398"/>
      <c r="C14" s="399"/>
      <c r="D14" s="392"/>
      <c r="E14" s="393"/>
      <c r="F14" s="251"/>
      <c r="G14" s="227" t="str">
        <f>IFERROR(ROUND(IF(IP_SI_Units="IP Units",0.0929,1)*((VLOOKUP($B14,Building_Type_Table,11,FALSE)+IF($K$7="Yes",0.75*VLOOKUP($B14,Building_Type_Table,12,FALSE),0))),2),"")</f>
        <v/>
      </c>
      <c r="H14" s="228" t="str">
        <f>IFERROR(ROUND(IF(IP_SI_Units="IP Units",0.0929*3.412,1)*IF(AND($D14&gt;0,$K$7="Yes"),0,VLOOKUP($B14,Building_Type_Table,12,FALSE)),2),"")</f>
        <v/>
      </c>
      <c r="I14" s="251"/>
      <c r="J14" s="233" t="str">
        <f>IFERROR($D14*G14,"")</f>
        <v/>
      </c>
      <c r="K14" s="235" t="str">
        <f>IFERROR(IF(IP_SI_Units="IP Units",1/100,1)*H14*$D14,"")</f>
        <v/>
      </c>
      <c r="L14" s="224"/>
      <c r="M14" s="378" t="str">
        <f>IFERROR(ROUND(IF(IP_SI_Units="IP Units",3.412/1000,1/1000)*J14+IF(IP_SI_Units="IP Units",1/10,1/1000)*K14,1),"")</f>
        <v/>
      </c>
      <c r="N14" s="379"/>
      <c r="O14" s="152"/>
      <c r="P14" s="152"/>
      <c r="Q14" s="152"/>
      <c r="R14" s="152"/>
      <c r="S14" s="86"/>
      <c r="T14" s="86"/>
      <c r="U14" s="86"/>
      <c r="V14" s="86"/>
      <c r="W14" s="86"/>
      <c r="X14" s="86"/>
    </row>
    <row r="15" spans="1:24">
      <c r="A15" s="152"/>
      <c r="B15" s="372"/>
      <c r="C15" s="373"/>
      <c r="D15" s="394"/>
      <c r="E15" s="395"/>
      <c r="F15" s="252"/>
      <c r="G15" s="230" t="str">
        <f>IFERROR(ROUND(IF(IP_SI_Units="IP Units",0.0929,1)*((VLOOKUP($B15,Building_Type_Table,11,FALSE)+IF($K$7="Yes",0.75*VLOOKUP($B15,Building_Type_Table,12,FALSE),0))),2),"")</f>
        <v/>
      </c>
      <c r="H15" s="229" t="str">
        <f>IFERROR(ROUND(IF(IP_SI_Units="IP Units",0.0929*3.412,1)*IF(AND($D15&gt;0,$K$7="Yes"),0,VLOOKUP($B15,Building_Type_Table,12,FALSE)),2),"")</f>
        <v/>
      </c>
      <c r="I15" s="252"/>
      <c r="J15" s="234" t="str">
        <f t="shared" ref="J15:J20" si="0">IFERROR($D15*G15,"")</f>
        <v/>
      </c>
      <c r="K15" s="236" t="str">
        <f>IFERROR(IF(IP_SI_Units="IP Units",1/100,1)*H15*$D15,"")</f>
        <v/>
      </c>
      <c r="L15" s="225"/>
      <c r="M15" s="380" t="str">
        <f>IFERROR(ROUND(IF(IP_SI_Units="IP Units",3.412/1000,1/1000)*J15+IF(IP_SI_Units="IP Units",1/10,1/1000)*K15,1),"")</f>
        <v/>
      </c>
      <c r="N15" s="381"/>
      <c r="O15" s="152"/>
      <c r="P15" s="152"/>
      <c r="Q15" s="152"/>
      <c r="R15" s="152"/>
      <c r="S15" s="86"/>
      <c r="T15" s="86"/>
      <c r="U15" s="86"/>
      <c r="V15" s="86"/>
      <c r="W15" s="86"/>
      <c r="X15" s="86"/>
    </row>
    <row r="16" spans="1:24">
      <c r="A16" s="152"/>
      <c r="B16" s="372"/>
      <c r="C16" s="373"/>
      <c r="D16" s="394"/>
      <c r="E16" s="395"/>
      <c r="F16" s="252"/>
      <c r="G16" s="230" t="str">
        <f>IFERROR(ROUND(IF(IP_SI_Units="IP Units",0.0929,1)*((VLOOKUP($B16,Building_Type_Table,11,FALSE)+IF($K$7="Yes",0.75*VLOOKUP($B16,Building_Type_Table,12,FALSE),0))),2),"")</f>
        <v/>
      </c>
      <c r="H16" s="229" t="str">
        <f>IFERROR(ROUND(IF(IP_SI_Units="IP Units",0.0929*3.412,1)*IF(AND($D16&gt;0,$K$7="Yes"),0,VLOOKUP($B16,Building_Type_Table,12,FALSE)),2),"")</f>
        <v/>
      </c>
      <c r="I16" s="252"/>
      <c r="J16" s="234" t="str">
        <f t="shared" si="0"/>
        <v/>
      </c>
      <c r="K16" s="236" t="str">
        <f>IFERROR(IF(IP_SI_Units="IP Units",1/100,1)*H16*$D16,"")</f>
        <v/>
      </c>
      <c r="L16" s="225"/>
      <c r="M16" s="380" t="str">
        <f>IFERROR(ROUND(IF(IP_SI_Units="IP Units",3.412/1000,1/1000)*J16+IF(IP_SI_Units="IP Units",1/10,1/1000)*K16,1),"")</f>
        <v/>
      </c>
      <c r="N16" s="381"/>
      <c r="O16" s="152"/>
      <c r="P16" s="152"/>
      <c r="Q16" s="152"/>
      <c r="R16" s="152"/>
      <c r="S16" s="86"/>
      <c r="T16" s="86"/>
      <c r="U16" s="86"/>
      <c r="V16" s="86"/>
      <c r="W16" s="86"/>
      <c r="X16" s="86"/>
    </row>
    <row r="17" spans="1:24">
      <c r="A17" s="152"/>
      <c r="B17" s="372"/>
      <c r="C17" s="373"/>
      <c r="D17" s="394"/>
      <c r="E17" s="395"/>
      <c r="F17" s="252"/>
      <c r="G17" s="230" t="str">
        <f>IFERROR(ROUND(IF(IP_SI_Units="IP Units",0.0929,1)*((VLOOKUP($B17,Building_Type_Table,11,FALSE)+IF($K$7="Yes",0.75*VLOOKUP($B17,Building_Type_Table,12,FALSE),0))),2),"")</f>
        <v/>
      </c>
      <c r="H17" s="229" t="str">
        <f>IFERROR(ROUND(IF(IP_SI_Units="IP Units",0.0929*3.412,1)*IF(AND($D17&gt;0,$K$7="Yes"),0,VLOOKUP($B17,Building_Type_Table,12,FALSE)),2),"")</f>
        <v/>
      </c>
      <c r="I17" s="252"/>
      <c r="J17" s="234" t="str">
        <f t="shared" si="0"/>
        <v/>
      </c>
      <c r="K17" s="236" t="str">
        <f>IFERROR(IF(IP_SI_Units="IP Units",1/100,1)*H17*$D17,"")</f>
        <v/>
      </c>
      <c r="L17" s="225"/>
      <c r="M17" s="380" t="str">
        <f>IFERROR(ROUND(IF(IP_SI_Units="IP Units",3.412/1000,1/1000)*J17+IF(IP_SI_Units="IP Units",1/10,1/1000)*K17,1),"")</f>
        <v/>
      </c>
      <c r="N17" s="381"/>
      <c r="O17" s="152"/>
      <c r="P17" s="152"/>
      <c r="Q17" s="152"/>
      <c r="R17" s="152"/>
      <c r="S17" s="86"/>
      <c r="T17" s="86"/>
      <c r="U17" s="86"/>
      <c r="V17" s="86"/>
      <c r="W17" s="86"/>
      <c r="X17" s="86"/>
    </row>
    <row r="18" spans="1:24">
      <c r="A18" s="152"/>
      <c r="B18" s="372"/>
      <c r="C18" s="373"/>
      <c r="D18" s="394"/>
      <c r="E18" s="395"/>
      <c r="F18" s="252"/>
      <c r="G18" s="230" t="str">
        <f>IFERROR(ROUND(IF(IP_SI_Units="IP Units",0.0929,1)*((VLOOKUP($B18,Building_Type_Table,11,FALSE)+IF($K$7="Yes",0.75*VLOOKUP($B18,Building_Type_Table,12,FALSE),0))),2),"")</f>
        <v/>
      </c>
      <c r="H18" s="229" t="str">
        <f>IFERROR(ROUND(IF(IP_SI_Units="IP Units",0.0929*3.412,1)*IF(AND($D18&gt;0,$K$7="Yes"),0,VLOOKUP($B18,Building_Type_Table,12,FALSE)),2),"")</f>
        <v/>
      </c>
      <c r="I18" s="252"/>
      <c r="J18" s="234" t="str">
        <f t="shared" si="0"/>
        <v/>
      </c>
      <c r="K18" s="236" t="str">
        <f>IFERROR(IF(IP_SI_Units="IP Units",1/100,1)*H18*$D18,"")</f>
        <v/>
      </c>
      <c r="L18" s="225"/>
      <c r="M18" s="380" t="str">
        <f>IFERROR(ROUND(IF(IP_SI_Units="IP Units",3.412/1000,1/1000)*J18+IF(IP_SI_Units="IP Units",1/10,1/1000)*K18,1),"")</f>
        <v/>
      </c>
      <c r="N18" s="381"/>
      <c r="O18" s="152"/>
      <c r="P18" s="152"/>
      <c r="Q18" s="152"/>
      <c r="R18" s="152"/>
      <c r="S18" s="86"/>
      <c r="T18" s="86"/>
      <c r="U18" s="86"/>
      <c r="V18" s="86"/>
      <c r="W18" s="86"/>
      <c r="X18" s="86"/>
    </row>
    <row r="19" spans="1:24">
      <c r="A19" s="152"/>
      <c r="B19" s="372"/>
      <c r="C19" s="373"/>
      <c r="D19" s="394"/>
      <c r="E19" s="395"/>
      <c r="F19" s="252"/>
      <c r="G19" s="230" t="str">
        <f>IFERROR(ROUND(IF(IP_SI_Units="IP Units",0.0929,1)*((VLOOKUP($B19,Building_Type_Table,11,FALSE)+IF($K$7="Yes",0.75*VLOOKUP($B19,Building_Type_Table,12,FALSE),0))),2),"")</f>
        <v/>
      </c>
      <c r="H19" s="229" t="str">
        <f>IFERROR(ROUND(IF(IP_SI_Units="IP Units",0.0929*3.412,1)*IF(AND($D19&gt;0,$K$7="Yes"),0,VLOOKUP($B19,Building_Type_Table,12,FALSE)),2),"")</f>
        <v/>
      </c>
      <c r="I19" s="252"/>
      <c r="J19" s="234" t="str">
        <f t="shared" si="0"/>
        <v/>
      </c>
      <c r="K19" s="236" t="str">
        <f>IFERROR(IF(IP_SI_Units="IP Units",1/100,1)*H19*$D19,"")</f>
        <v/>
      </c>
      <c r="L19" s="225"/>
      <c r="M19" s="380" t="str">
        <f>IFERROR(ROUND(IF(IP_SI_Units="IP Units",3.412/1000,1/1000)*J19+IF(IP_SI_Units="IP Units",1/10,1/1000)*K19,1),"")</f>
        <v/>
      </c>
      <c r="N19" s="381"/>
      <c r="O19" s="152"/>
      <c r="P19" s="152"/>
      <c r="Q19" s="152"/>
      <c r="R19" s="152"/>
      <c r="S19" s="86"/>
      <c r="T19" s="86"/>
      <c r="U19" s="86"/>
      <c r="V19" s="86"/>
      <c r="W19" s="86"/>
      <c r="X19" s="86"/>
    </row>
    <row r="20" spans="1:24">
      <c r="A20" s="152"/>
      <c r="B20" s="390"/>
      <c r="C20" s="391"/>
      <c r="D20" s="396"/>
      <c r="E20" s="397"/>
      <c r="F20" s="253"/>
      <c r="G20" s="244" t="str">
        <f>IFERROR(ROUND(IF(IP_SI_Units="IP Units",0.0929,1)*((VLOOKUP($B20,Building_Type_Table,11,FALSE)+IF($K$7="Yes",0.75*VLOOKUP($B20,Building_Type_Table,12,FALSE),0))),2),"")</f>
        <v/>
      </c>
      <c r="H20" s="245" t="str">
        <f>IFERROR(ROUND(IF(IP_SI_Units="IP Units",0.0929*3.412,1)*IF(AND($D20&gt;0,$K$7="Yes"),0,VLOOKUP($B20,Building_Type_Table,12,FALSE)),2),"")</f>
        <v/>
      </c>
      <c r="I20" s="253"/>
      <c r="J20" s="241" t="str">
        <f t="shared" si="0"/>
        <v/>
      </c>
      <c r="K20" s="242" t="str">
        <f>IFERROR(IF(IP_SI_Units="IP Units",1/100,1)*H20*$D20,"")</f>
        <v/>
      </c>
      <c r="L20" s="243"/>
      <c r="M20" s="374" t="str">
        <f>IFERROR(ROUND(IF(IP_SI_Units="IP Units",3.412/1000,1/1000)*J20+IF(IP_SI_Units="IP Units",1/10,1/1000)*K20,1),"")</f>
        <v/>
      </c>
      <c r="N20" s="375"/>
      <c r="O20" s="152"/>
      <c r="P20" s="152"/>
      <c r="Q20" s="152"/>
      <c r="R20" s="152"/>
      <c r="S20" s="86"/>
      <c r="T20" s="86"/>
      <c r="U20" s="86"/>
      <c r="V20" s="86"/>
      <c r="W20" s="86"/>
      <c r="X20" s="86"/>
    </row>
    <row r="21" spans="1:24" ht="27" customHeight="1">
      <c r="A21" s="152"/>
      <c r="B21" s="255" t="s">
        <v>265</v>
      </c>
      <c r="C21" s="254"/>
      <c r="D21" s="388" t="str">
        <f>IFERROR(IF(SUM(D14:D20)&gt;0,SUM(D14:D20),""),"")</f>
        <v/>
      </c>
      <c r="E21" s="389"/>
      <c r="F21" s="254"/>
      <c r="G21" s="254"/>
      <c r="H21" s="254"/>
      <c r="I21" s="254"/>
      <c r="J21" s="246">
        <f>IFERROR(IF($D21&gt;0,SUM(J14:J20),""),"")</f>
        <v>0</v>
      </c>
      <c r="K21" s="247">
        <f>IFERROR(IF($D21&gt;0,SUM(K14:K20),""),"")</f>
        <v>0</v>
      </c>
      <c r="L21" s="248"/>
      <c r="M21" s="376">
        <f t="shared" ref="M21:N21" si="1">IFERROR(IF($D21&gt;0,SUM(M14:M20),""),"")</f>
        <v>0</v>
      </c>
      <c r="N21" s="377">
        <f t="shared" si="1"/>
        <v>0</v>
      </c>
      <c r="O21" s="152"/>
      <c r="P21" s="152"/>
      <c r="Q21" s="152"/>
      <c r="R21" s="152"/>
      <c r="S21" s="86"/>
      <c r="T21" s="86"/>
      <c r="U21" s="86"/>
      <c r="V21" s="86"/>
      <c r="W21" s="86"/>
      <c r="X21" s="86"/>
    </row>
    <row r="22" spans="1:24">
      <c r="A22" s="152"/>
      <c r="B22" s="150"/>
      <c r="C22" s="151"/>
      <c r="D22" s="153"/>
      <c r="E22" s="153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86"/>
      <c r="T22" s="86"/>
      <c r="U22" s="86"/>
      <c r="V22" s="86"/>
      <c r="W22" s="86"/>
      <c r="X22" s="86"/>
    </row>
    <row r="23" spans="1:24">
      <c r="A23" s="152"/>
      <c r="B23" s="150" t="s">
        <v>234</v>
      </c>
      <c r="C23" s="151"/>
      <c r="D23" s="153"/>
      <c r="E23" s="153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86"/>
      <c r="T23" s="86"/>
      <c r="U23" s="86"/>
      <c r="V23" s="86"/>
      <c r="W23" s="86"/>
      <c r="X23" s="86"/>
    </row>
    <row r="24" spans="1:24">
      <c r="A24" s="152"/>
      <c r="B24" s="186" t="s">
        <v>242</v>
      </c>
      <c r="C24" s="151"/>
      <c r="D24" s="153"/>
      <c r="E24" s="153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86"/>
      <c r="T24" s="86"/>
      <c r="U24" s="86"/>
      <c r="V24" s="86"/>
      <c r="W24" s="86"/>
      <c r="X24" s="86"/>
    </row>
    <row r="25" spans="1:24">
      <c r="A25" s="152"/>
      <c r="B25" s="212" t="s">
        <v>235</v>
      </c>
      <c r="C25" s="151"/>
      <c r="D25" s="153"/>
      <c r="E25" s="153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86"/>
      <c r="T25" s="86"/>
      <c r="U25" s="86"/>
      <c r="V25" s="86"/>
      <c r="W25" s="86"/>
      <c r="X25" s="86"/>
    </row>
    <row r="26" spans="1:24" ht="9" customHeight="1">
      <c r="A26" s="152"/>
      <c r="B26" s="212"/>
      <c r="C26" s="151"/>
      <c r="D26" s="153"/>
      <c r="E26" s="153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86"/>
      <c r="T26" s="86"/>
      <c r="U26" s="86"/>
      <c r="V26" s="86"/>
      <c r="W26" s="86"/>
      <c r="X26" s="86"/>
    </row>
    <row r="27" spans="1:24">
      <c r="A27" s="152"/>
      <c r="B27" s="159"/>
      <c r="C27" s="160"/>
      <c r="D27" s="197" t="s">
        <v>152</v>
      </c>
      <c r="E27" s="198"/>
      <c r="F27" s="199"/>
      <c r="G27" s="199"/>
      <c r="H27" s="199"/>
      <c r="I27" s="149"/>
      <c r="J27" s="149"/>
      <c r="K27" s="149"/>
      <c r="L27" s="149"/>
      <c r="M27" s="149"/>
      <c r="N27" s="149"/>
      <c r="O27" s="192"/>
      <c r="P27" s="204" t="s">
        <v>153</v>
      </c>
      <c r="Q27" s="205"/>
      <c r="R27" s="150"/>
      <c r="S27" s="86"/>
      <c r="T27" s="86"/>
      <c r="U27" s="86"/>
      <c r="V27" s="86"/>
      <c r="W27" s="86"/>
      <c r="X27" s="86"/>
    </row>
    <row r="28" spans="1:24">
      <c r="A28" s="152"/>
      <c r="B28" s="161"/>
      <c r="C28" s="162"/>
      <c r="D28" s="200" t="s">
        <v>154</v>
      </c>
      <c r="E28" s="200"/>
      <c r="F28" s="201"/>
      <c r="G28" s="201"/>
      <c r="H28" s="201"/>
      <c r="I28" s="164"/>
      <c r="J28" s="200" t="s">
        <v>155</v>
      </c>
      <c r="K28" s="200"/>
      <c r="L28" s="201"/>
      <c r="M28" s="201"/>
      <c r="N28" s="201"/>
      <c r="O28" s="165"/>
      <c r="P28" s="163" t="s">
        <v>154</v>
      </c>
      <c r="Q28" s="148" t="s">
        <v>155</v>
      </c>
      <c r="R28" s="154"/>
      <c r="S28" s="86"/>
      <c r="T28" s="86"/>
      <c r="U28" s="86"/>
      <c r="V28" s="86"/>
      <c r="W28" s="86"/>
      <c r="X28" s="86"/>
    </row>
    <row r="29" spans="1:24" ht="45">
      <c r="A29" s="152"/>
      <c r="B29" s="193"/>
      <c r="C29" s="194"/>
      <c r="D29" s="202" t="s">
        <v>156</v>
      </c>
      <c r="E29" s="202" t="s">
        <v>157</v>
      </c>
      <c r="F29" s="203"/>
      <c r="G29" s="203" t="s">
        <v>158</v>
      </c>
      <c r="H29" s="203" t="s">
        <v>159</v>
      </c>
      <c r="I29" s="195"/>
      <c r="J29" s="202" t="s">
        <v>160</v>
      </c>
      <c r="K29" s="202" t="s">
        <v>161</v>
      </c>
      <c r="L29" s="203"/>
      <c r="M29" s="203" t="s">
        <v>162</v>
      </c>
      <c r="N29" s="203" t="s">
        <v>163</v>
      </c>
      <c r="O29" s="196"/>
      <c r="P29" s="239" t="s">
        <v>164</v>
      </c>
      <c r="Q29" s="240" t="s">
        <v>298</v>
      </c>
      <c r="R29" s="151"/>
      <c r="S29" s="86"/>
      <c r="T29" s="86"/>
      <c r="U29" s="155" t="s">
        <v>165</v>
      </c>
      <c r="V29" s="86"/>
      <c r="W29" s="86"/>
      <c r="X29" s="86"/>
    </row>
    <row r="30" spans="1:24">
      <c r="A30" s="152"/>
      <c r="B30" s="187" t="s">
        <v>166</v>
      </c>
      <c r="C30" s="167" t="s">
        <v>167</v>
      </c>
      <c r="D30" s="169">
        <v>209.9</v>
      </c>
      <c r="E30" s="169">
        <v>88.3</v>
      </c>
      <c r="F30" s="168"/>
      <c r="G30" s="170">
        <f>(D30-LookupData!$AM$4*E30)/(LookupData!$AM$2-LookupData!$AM$4)</f>
        <v>66.962857142857146</v>
      </c>
      <c r="H30" s="170">
        <f>E30-G30</f>
        <v>21.337142857142851</v>
      </c>
      <c r="I30" s="168"/>
      <c r="J30" s="169">
        <f>D30*LookupData!$AN$10</f>
        <v>662.17608337261743</v>
      </c>
      <c r="K30" s="169">
        <f>E30*LookupData!$AN$10</f>
        <v>278.56192549691337</v>
      </c>
      <c r="L30" s="171"/>
      <c r="M30" s="169">
        <f>G30*LookupData!$AN$10</f>
        <v>211.24917805763337</v>
      </c>
      <c r="N30" s="169">
        <f>H30*LookupData!$AN$10</f>
        <v>67.312747439280002</v>
      </c>
      <c r="O30" s="171"/>
      <c r="P30" s="169">
        <f>(M30+N30*0.75)*LookupData!AN$7</f>
        <v>24.315859989951434</v>
      </c>
      <c r="Q30" s="188">
        <f>(M30+N30*0.75)</f>
        <v>261.73373863709338</v>
      </c>
      <c r="R30" s="156"/>
      <c r="S30" s="86"/>
      <c r="T30" s="86"/>
      <c r="U30" s="157">
        <f>ROUNDUP(M30/K30,2)</f>
        <v>0.76</v>
      </c>
      <c r="V30" s="86"/>
      <c r="W30" s="86"/>
      <c r="X30" s="86"/>
    </row>
    <row r="31" spans="1:24">
      <c r="A31" s="152"/>
      <c r="B31" s="189"/>
      <c r="C31" s="181" t="s">
        <v>168</v>
      </c>
      <c r="D31" s="183">
        <v>116.4</v>
      </c>
      <c r="E31" s="183">
        <v>52.9</v>
      </c>
      <c r="F31" s="182"/>
      <c r="G31" s="190">
        <f>(D31-LookupData!$AM$4*E31)/(LookupData!$AM$2-LookupData!$AM$4)</f>
        <v>34.774285714285718</v>
      </c>
      <c r="H31" s="190">
        <f t="shared" ref="H31:H37" si="2">E31-G31</f>
        <v>18.125714285714281</v>
      </c>
      <c r="I31" s="182"/>
      <c r="J31" s="183">
        <f>D31*LookupData!$AN$10</f>
        <v>367.20960507180882</v>
      </c>
      <c r="K31" s="183">
        <f>E31*LookupData!$AN$10</f>
        <v>166.88477756270348</v>
      </c>
      <c r="L31" s="184"/>
      <c r="M31" s="183">
        <f>G31*LookupData!$AN$10</f>
        <v>109.70319350341153</v>
      </c>
      <c r="N31" s="183">
        <f>H31*LookupData!$AN$10</f>
        <v>57.181584059291964</v>
      </c>
      <c r="O31" s="184"/>
      <c r="P31" s="183">
        <f>(M31+N31*0.75)*LookupData!AN$7</f>
        <v>14.176017417518004</v>
      </c>
      <c r="Q31" s="191">
        <f t="shared" ref="Q31:Q85" si="3">(M31+N31*0.75)</f>
        <v>152.58938154788049</v>
      </c>
      <c r="R31" s="156"/>
      <c r="S31" s="86"/>
      <c r="T31" s="86"/>
      <c r="U31" s="157">
        <f t="shared" ref="U31:U76" si="4">ROUNDUP(M31/K31,2)</f>
        <v>0.66</v>
      </c>
      <c r="V31" s="86"/>
      <c r="W31" s="86"/>
      <c r="X31" s="86"/>
    </row>
    <row r="32" spans="1:24">
      <c r="A32" s="152"/>
      <c r="B32" s="166" t="s">
        <v>169</v>
      </c>
      <c r="C32" s="167" t="s">
        <v>170</v>
      </c>
      <c r="D32" s="169">
        <v>110.4</v>
      </c>
      <c r="E32" s="169">
        <v>52.4</v>
      </c>
      <c r="F32" s="168"/>
      <c r="G32" s="170">
        <f>(D32-LookupData!$AM$4*E32)/(LookupData!$AM$2-LookupData!$AM$4)</f>
        <v>31.645714285714291</v>
      </c>
      <c r="H32" s="170">
        <f t="shared" si="2"/>
        <v>20.754285714285707</v>
      </c>
      <c r="I32" s="168"/>
      <c r="J32" s="169">
        <f>D32*LookupData!$AN$10</f>
        <v>348.28127491346817</v>
      </c>
      <c r="K32" s="169">
        <f>E32*LookupData!$AN$10</f>
        <v>165.30741671617508</v>
      </c>
      <c r="L32" s="171"/>
      <c r="M32" s="169">
        <f>G32*LookupData!$AN$10</f>
        <v>99.833421349419609</v>
      </c>
      <c r="N32" s="169">
        <f>H32*LookupData!$AN$10</f>
        <v>65.473995366755489</v>
      </c>
      <c r="O32" s="171"/>
      <c r="P32" s="169">
        <f>(M32+N32*0.75)*LookupData!AN$7</f>
        <v>13.836878244850109</v>
      </c>
      <c r="Q32" s="172">
        <f t="shared" si="3"/>
        <v>148.93891787448621</v>
      </c>
      <c r="R32" s="156"/>
      <c r="S32" s="86"/>
      <c r="T32" s="86"/>
      <c r="U32" s="157">
        <f t="shared" si="4"/>
        <v>0.61</v>
      </c>
      <c r="V32" s="86"/>
      <c r="W32" s="86"/>
      <c r="X32" s="86"/>
    </row>
    <row r="33" spans="1:24">
      <c r="A33" s="152"/>
      <c r="B33" s="173"/>
      <c r="C33" s="174" t="s">
        <v>247</v>
      </c>
      <c r="D33" s="176">
        <v>180.6</v>
      </c>
      <c r="E33" s="176">
        <v>84.3</v>
      </c>
      <c r="F33" s="175"/>
      <c r="G33" s="177">
        <f>(D33-LookupData!$AM$4*E33)/(LookupData!$AM$2-LookupData!$AM$4)</f>
        <v>52.620000000000005</v>
      </c>
      <c r="H33" s="177">
        <f t="shared" si="2"/>
        <v>31.679999999999993</v>
      </c>
      <c r="I33" s="175"/>
      <c r="J33" s="176">
        <f>D33*LookupData!$AN$10</f>
        <v>569.74273776605389</v>
      </c>
      <c r="K33" s="176">
        <f>E33*LookupData!$AN$10</f>
        <v>265.94303872468629</v>
      </c>
      <c r="L33" s="178"/>
      <c r="M33" s="176">
        <f>G33*LookupData!$AN$10</f>
        <v>166.00145548864759</v>
      </c>
      <c r="N33" s="176">
        <f>H33*LookupData!$AN$10</f>
        <v>99.941583236038667</v>
      </c>
      <c r="O33" s="178"/>
      <c r="P33" s="176">
        <f>(M33+N33*0.75)*LookupData!AN$7</f>
        <v>22.385697538100821</v>
      </c>
      <c r="Q33" s="179">
        <f t="shared" si="3"/>
        <v>240.95764291567659</v>
      </c>
      <c r="R33" s="156"/>
      <c r="S33" s="86"/>
      <c r="T33" s="86"/>
      <c r="U33" s="157">
        <f t="shared" si="4"/>
        <v>0.63</v>
      </c>
      <c r="V33" s="86"/>
      <c r="W33" s="86"/>
      <c r="X33" s="86"/>
    </row>
    <row r="34" spans="1:24">
      <c r="A34" s="152"/>
      <c r="B34" s="173"/>
      <c r="C34" s="174" t="s">
        <v>171</v>
      </c>
      <c r="D34" s="176">
        <v>104.4</v>
      </c>
      <c r="E34" s="176">
        <v>48.5</v>
      </c>
      <c r="F34" s="175"/>
      <c r="G34" s="177">
        <f>(D34-LookupData!$AM$4*E34)/(LookupData!$AM$2-LookupData!$AM$4)</f>
        <v>30.55714285714286</v>
      </c>
      <c r="H34" s="177">
        <f t="shared" si="2"/>
        <v>17.94285714285714</v>
      </c>
      <c r="I34" s="175"/>
      <c r="J34" s="176">
        <f>D34*LookupData!$AN$10</f>
        <v>329.35294475512751</v>
      </c>
      <c r="K34" s="176">
        <f>E34*LookupData!$AN$10</f>
        <v>153.00400211325368</v>
      </c>
      <c r="L34" s="178"/>
      <c r="M34" s="176">
        <f>G34*LookupData!$AN$10</f>
        <v>96.399281449263512</v>
      </c>
      <c r="N34" s="176">
        <f>H34*LookupData!$AN$10</f>
        <v>56.604720663990157</v>
      </c>
      <c r="O34" s="178"/>
      <c r="P34" s="176">
        <f>(M34+N34*0.75)*LookupData!AN$7</f>
        <v>12.899849271478816</v>
      </c>
      <c r="Q34" s="179">
        <f t="shared" si="3"/>
        <v>138.85282194725613</v>
      </c>
      <c r="R34" s="156"/>
      <c r="S34" s="86"/>
      <c r="T34" s="86"/>
      <c r="U34" s="157">
        <f t="shared" si="4"/>
        <v>0.64</v>
      </c>
      <c r="V34" s="86"/>
      <c r="W34" s="86"/>
      <c r="X34" s="86"/>
    </row>
    <row r="35" spans="1:24">
      <c r="A35" s="152"/>
      <c r="B35" s="173"/>
      <c r="C35" s="174" t="s">
        <v>248</v>
      </c>
      <c r="D35" s="176">
        <v>131.5</v>
      </c>
      <c r="E35" s="176">
        <v>64.8</v>
      </c>
      <c r="F35" s="175"/>
      <c r="G35" s="177">
        <f>(D35-LookupData!$AM$4*E35)/(LookupData!$AM$2-LookupData!$AM$4)</f>
        <v>36.262857142857143</v>
      </c>
      <c r="H35" s="177">
        <f t="shared" si="2"/>
        <v>28.537142857142854</v>
      </c>
      <c r="I35" s="175"/>
      <c r="J35" s="176">
        <f>D35*LookupData!$AN$10</f>
        <v>414.84590263696612</v>
      </c>
      <c r="K35" s="176">
        <f>E35*LookupData!$AN$10</f>
        <v>204.42596571007911</v>
      </c>
      <c r="L35" s="178"/>
      <c r="M35" s="176">
        <f>G35*LookupData!$AN$10</f>
        <v>114.39922208079032</v>
      </c>
      <c r="N35" s="176">
        <f>H35*LookupData!$AN$10</f>
        <v>90.026743629288802</v>
      </c>
      <c r="O35" s="178"/>
      <c r="P35" s="176">
        <f>(M35+N35*0.75)*LookupData!AN$7</f>
        <v>16.900854128286721</v>
      </c>
      <c r="Q35" s="179">
        <f t="shared" si="3"/>
        <v>181.91927980275693</v>
      </c>
      <c r="R35" s="156"/>
      <c r="S35" s="86"/>
      <c r="T35" s="86"/>
      <c r="U35" s="157">
        <f t="shared" si="4"/>
        <v>0.56000000000000005</v>
      </c>
      <c r="V35" s="86"/>
      <c r="W35" s="86"/>
      <c r="X35" s="86"/>
    </row>
    <row r="36" spans="1:24">
      <c r="A36" s="152"/>
      <c r="B36" s="173"/>
      <c r="C36" s="174" t="s">
        <v>172</v>
      </c>
      <c r="D36" s="176">
        <v>110.4</v>
      </c>
      <c r="E36" s="176">
        <v>52.4</v>
      </c>
      <c r="F36" s="175"/>
      <c r="G36" s="177">
        <f>(D36-LookupData!$AM$4*E36)/(LookupData!$AM$2-LookupData!$AM$4)</f>
        <v>31.645714285714291</v>
      </c>
      <c r="H36" s="177">
        <f t="shared" si="2"/>
        <v>20.754285714285707</v>
      </c>
      <c r="I36" s="175"/>
      <c r="J36" s="176">
        <f>D36*LookupData!$AN$10</f>
        <v>348.28127491346817</v>
      </c>
      <c r="K36" s="176">
        <f>E36*LookupData!$AN$10</f>
        <v>165.30741671617508</v>
      </c>
      <c r="L36" s="178"/>
      <c r="M36" s="176">
        <f>G36*LookupData!$AN$10</f>
        <v>99.833421349419609</v>
      </c>
      <c r="N36" s="176">
        <f>H36*LookupData!$AN$10</f>
        <v>65.473995366755489</v>
      </c>
      <c r="O36" s="178"/>
      <c r="P36" s="176">
        <f>(M36+N36*0.75)*LookupData!AN$7</f>
        <v>13.836878244850109</v>
      </c>
      <c r="Q36" s="179">
        <f t="shared" si="3"/>
        <v>148.93891787448621</v>
      </c>
      <c r="R36" s="156"/>
      <c r="S36" s="86"/>
      <c r="T36" s="86"/>
      <c r="U36" s="157">
        <f t="shared" si="4"/>
        <v>0.61</v>
      </c>
      <c r="V36" s="86"/>
      <c r="W36" s="86"/>
      <c r="X36" s="86"/>
    </row>
    <row r="37" spans="1:24">
      <c r="A37" s="152"/>
      <c r="B37" s="180"/>
      <c r="C37" s="181" t="s">
        <v>173</v>
      </c>
      <c r="D37" s="183">
        <v>110.4</v>
      </c>
      <c r="E37" s="183">
        <v>52.4</v>
      </c>
      <c r="F37" s="182"/>
      <c r="G37" s="190">
        <f>(D37-LookupData!$AM$4*E37)/(LookupData!$AM$2-LookupData!$AM$4)</f>
        <v>31.645714285714291</v>
      </c>
      <c r="H37" s="190">
        <f t="shared" si="2"/>
        <v>20.754285714285707</v>
      </c>
      <c r="I37" s="182"/>
      <c r="J37" s="183">
        <f>D37*LookupData!$AN$10</f>
        <v>348.28127491346817</v>
      </c>
      <c r="K37" s="183">
        <f>E37*LookupData!$AN$10</f>
        <v>165.30741671617508</v>
      </c>
      <c r="L37" s="184"/>
      <c r="M37" s="183">
        <f>G37*LookupData!$AN$10</f>
        <v>99.833421349419609</v>
      </c>
      <c r="N37" s="183">
        <f>H37*LookupData!$AN$10</f>
        <v>65.473995366755489</v>
      </c>
      <c r="O37" s="184"/>
      <c r="P37" s="183">
        <f>(M37+N37*0.75)*LookupData!AN$7</f>
        <v>13.836878244850109</v>
      </c>
      <c r="Q37" s="185">
        <f t="shared" si="3"/>
        <v>148.93891787448621</v>
      </c>
      <c r="R37" s="156"/>
      <c r="S37" s="86"/>
      <c r="T37" s="86"/>
      <c r="U37" s="157">
        <f t="shared" si="4"/>
        <v>0.61</v>
      </c>
      <c r="V37" s="86"/>
      <c r="W37" s="86"/>
      <c r="X37" s="86"/>
    </row>
    <row r="38" spans="1:24">
      <c r="A38" s="152"/>
      <c r="B38" s="166" t="s">
        <v>174</v>
      </c>
      <c r="C38" s="167" t="s">
        <v>175</v>
      </c>
      <c r="D38" s="169">
        <v>109.6</v>
      </c>
      <c r="E38" s="169">
        <v>56.1</v>
      </c>
      <c r="F38" s="168"/>
      <c r="G38" s="169">
        <f>(D38-LookupData!$AM$4*E38)/(LookupData!$AM$2-LookupData!$AM$4)</f>
        <v>28.96857142857143</v>
      </c>
      <c r="H38" s="169">
        <f t="shared" ref="H38:H45" si="5">E38-G38</f>
        <v>27.131428571428572</v>
      </c>
      <c r="I38" s="168"/>
      <c r="J38" s="169">
        <f>D38*LookupData!$AN$10</f>
        <v>345.75749755902274</v>
      </c>
      <c r="K38" s="169">
        <f>E38*LookupData!$AN$10</f>
        <v>176.97988698048519</v>
      </c>
      <c r="L38" s="171"/>
      <c r="M38" s="169">
        <f>G38*LookupData!$AN$10</f>
        <v>91.387780702579036</v>
      </c>
      <c r="N38" s="169">
        <f>H38*LookupData!$AN$10</f>
        <v>85.592106277906154</v>
      </c>
      <c r="O38" s="171"/>
      <c r="P38" s="169">
        <f>(M38+N38*0.75)*LookupData!AN$7</f>
        <v>14.454027801038354</v>
      </c>
      <c r="Q38" s="172">
        <f t="shared" si="3"/>
        <v>155.58186041100865</v>
      </c>
      <c r="R38" s="156"/>
      <c r="S38" s="86"/>
      <c r="T38" s="86"/>
      <c r="U38" s="157">
        <f t="shared" si="4"/>
        <v>0.52</v>
      </c>
      <c r="V38" s="86"/>
      <c r="W38" s="86"/>
      <c r="X38" s="86"/>
    </row>
    <row r="39" spans="1:24">
      <c r="A39" s="152"/>
      <c r="B39" s="173"/>
      <c r="C39" s="174" t="s">
        <v>176</v>
      </c>
      <c r="D39" s="176">
        <v>112</v>
      </c>
      <c r="E39" s="176">
        <v>56.2</v>
      </c>
      <c r="F39" s="175"/>
      <c r="G39" s="176">
        <f>(D39-LookupData!$AM$4*E39)/(LookupData!$AM$2-LookupData!$AM$4)</f>
        <v>30.28</v>
      </c>
      <c r="H39" s="176">
        <f t="shared" si="5"/>
        <v>25.92</v>
      </c>
      <c r="I39" s="175"/>
      <c r="J39" s="176">
        <f>D39*LookupData!$AN$10</f>
        <v>353.32882962235897</v>
      </c>
      <c r="K39" s="176">
        <f>E39*LookupData!$AN$10</f>
        <v>177.29535914979087</v>
      </c>
      <c r="L39" s="178"/>
      <c r="M39" s="176">
        <f>G39*LookupData!$AN$10</f>
        <v>95.52497286575921</v>
      </c>
      <c r="N39" s="176">
        <f>H39*LookupData!$AN$10</f>
        <v>81.770386284031659</v>
      </c>
      <c r="O39" s="178"/>
      <c r="P39" s="176">
        <f>(M39+N39*0.75)*LookupData!AN$7</f>
        <v>14.572098475967179</v>
      </c>
      <c r="Q39" s="179">
        <f t="shared" si="3"/>
        <v>156.85276257878297</v>
      </c>
      <c r="R39" s="156"/>
      <c r="S39" s="86"/>
      <c r="T39" s="86"/>
      <c r="U39" s="157">
        <f t="shared" si="4"/>
        <v>0.54</v>
      </c>
      <c r="V39" s="86"/>
      <c r="W39" s="86"/>
      <c r="X39" s="86"/>
    </row>
    <row r="40" spans="1:24">
      <c r="A40" s="152"/>
      <c r="B40" s="173"/>
      <c r="C40" s="174" t="s">
        <v>177</v>
      </c>
      <c r="D40" s="176">
        <v>112</v>
      </c>
      <c r="E40" s="176">
        <v>56.2</v>
      </c>
      <c r="F40" s="175"/>
      <c r="G40" s="176">
        <f>(D40-LookupData!$AM$4*E40)/(LookupData!$AM$2-LookupData!$AM$4)</f>
        <v>30.28</v>
      </c>
      <c r="H40" s="176">
        <f t="shared" si="5"/>
        <v>25.92</v>
      </c>
      <c r="I40" s="175"/>
      <c r="J40" s="176">
        <f>D40*LookupData!$AN$10</f>
        <v>353.32882962235897</v>
      </c>
      <c r="K40" s="176">
        <f>E40*LookupData!$AN$10</f>
        <v>177.29535914979087</v>
      </c>
      <c r="L40" s="178"/>
      <c r="M40" s="176">
        <f>G40*LookupData!$AN$10</f>
        <v>95.52497286575921</v>
      </c>
      <c r="N40" s="176">
        <f>H40*LookupData!$AN$10</f>
        <v>81.770386284031659</v>
      </c>
      <c r="O40" s="178"/>
      <c r="P40" s="176">
        <f>(M40+N40*0.75)*LookupData!AN$7</f>
        <v>14.572098475967179</v>
      </c>
      <c r="Q40" s="179">
        <f t="shared" si="3"/>
        <v>156.85276257878297</v>
      </c>
      <c r="R40" s="156"/>
      <c r="S40" s="86"/>
      <c r="T40" s="86"/>
      <c r="U40" s="157">
        <f t="shared" si="4"/>
        <v>0.54</v>
      </c>
      <c r="V40" s="86"/>
      <c r="W40" s="86"/>
      <c r="X40" s="86"/>
    </row>
    <row r="41" spans="1:24">
      <c r="A41" s="152"/>
      <c r="B41" s="173"/>
      <c r="C41" s="174" t="s">
        <v>178</v>
      </c>
      <c r="D41" s="176">
        <v>112</v>
      </c>
      <c r="E41" s="176">
        <v>56.2</v>
      </c>
      <c r="F41" s="175"/>
      <c r="G41" s="176">
        <f>(D41-LookupData!$AM$4*E41)/(LookupData!$AM$2-LookupData!$AM$4)</f>
        <v>30.28</v>
      </c>
      <c r="H41" s="176">
        <f t="shared" si="5"/>
        <v>25.92</v>
      </c>
      <c r="I41" s="175"/>
      <c r="J41" s="176">
        <f>D41*LookupData!$AN$10</f>
        <v>353.32882962235897</v>
      </c>
      <c r="K41" s="176">
        <f>E41*LookupData!$AN$10</f>
        <v>177.29535914979087</v>
      </c>
      <c r="L41" s="178"/>
      <c r="M41" s="176">
        <f>G41*LookupData!$AN$10</f>
        <v>95.52497286575921</v>
      </c>
      <c r="N41" s="176">
        <f>H41*LookupData!$AN$10</f>
        <v>81.770386284031659</v>
      </c>
      <c r="O41" s="178"/>
      <c r="P41" s="176">
        <f>(M41+N41*0.75)*LookupData!AN$7</f>
        <v>14.572098475967179</v>
      </c>
      <c r="Q41" s="179">
        <f t="shared" si="3"/>
        <v>156.85276257878297</v>
      </c>
      <c r="R41" s="156"/>
      <c r="S41" s="86"/>
      <c r="T41" s="86"/>
      <c r="U41" s="157">
        <f t="shared" si="4"/>
        <v>0.54</v>
      </c>
      <c r="V41" s="86"/>
      <c r="W41" s="86"/>
      <c r="X41" s="86"/>
    </row>
    <row r="42" spans="1:24">
      <c r="A42" s="152"/>
      <c r="B42" s="173"/>
      <c r="C42" s="174" t="s">
        <v>249</v>
      </c>
      <c r="D42" s="176">
        <v>109.6</v>
      </c>
      <c r="E42" s="176">
        <v>56.1</v>
      </c>
      <c r="F42" s="175"/>
      <c r="G42" s="176">
        <f>(D42-LookupData!$AM$4*E42)/(LookupData!$AM$2-LookupData!$AM$4)</f>
        <v>28.96857142857143</v>
      </c>
      <c r="H42" s="176">
        <f t="shared" si="5"/>
        <v>27.131428571428572</v>
      </c>
      <c r="I42" s="175"/>
      <c r="J42" s="176">
        <f>D42*LookupData!$AN$10</f>
        <v>345.75749755902274</v>
      </c>
      <c r="K42" s="176">
        <f>E42*LookupData!$AN$10</f>
        <v>176.97988698048519</v>
      </c>
      <c r="L42" s="178"/>
      <c r="M42" s="176">
        <f>G42*LookupData!$AN$10</f>
        <v>91.387780702579036</v>
      </c>
      <c r="N42" s="176">
        <f>H42*LookupData!$AN$10</f>
        <v>85.592106277906154</v>
      </c>
      <c r="O42" s="178"/>
      <c r="P42" s="176">
        <f>(M42+N42*0.75)*LookupData!AN$7</f>
        <v>14.454027801038354</v>
      </c>
      <c r="Q42" s="179">
        <f t="shared" si="3"/>
        <v>155.58186041100865</v>
      </c>
      <c r="R42" s="156"/>
      <c r="S42" s="86"/>
      <c r="T42" s="86"/>
      <c r="U42" s="157">
        <f t="shared" si="4"/>
        <v>0.52</v>
      </c>
      <c r="V42" s="86"/>
      <c r="W42" s="86"/>
      <c r="X42" s="86"/>
    </row>
    <row r="43" spans="1:24">
      <c r="A43" s="152"/>
      <c r="B43" s="173"/>
      <c r="C43" s="174" t="s">
        <v>179</v>
      </c>
      <c r="D43" s="176">
        <v>112</v>
      </c>
      <c r="E43" s="176">
        <v>56.2</v>
      </c>
      <c r="F43" s="175"/>
      <c r="G43" s="176">
        <f>(D43-LookupData!$AM$4*E43)/(LookupData!$AM$2-LookupData!$AM$4)</f>
        <v>30.28</v>
      </c>
      <c r="H43" s="176">
        <f t="shared" si="5"/>
        <v>25.92</v>
      </c>
      <c r="I43" s="175"/>
      <c r="J43" s="176">
        <f>D43*LookupData!$AN$10</f>
        <v>353.32882962235897</v>
      </c>
      <c r="K43" s="176">
        <f>E43*LookupData!$AN$10</f>
        <v>177.29535914979087</v>
      </c>
      <c r="L43" s="178"/>
      <c r="M43" s="176">
        <f>G43*LookupData!$AN$10</f>
        <v>95.52497286575921</v>
      </c>
      <c r="N43" s="176">
        <f>H43*LookupData!$AN$10</f>
        <v>81.770386284031659</v>
      </c>
      <c r="O43" s="178"/>
      <c r="P43" s="176">
        <f>(M43+N43*0.75)*LookupData!AN$7</f>
        <v>14.572098475967179</v>
      </c>
      <c r="Q43" s="179">
        <f t="shared" si="3"/>
        <v>156.85276257878297</v>
      </c>
      <c r="R43" s="156"/>
      <c r="S43" s="86"/>
      <c r="T43" s="86"/>
      <c r="U43" s="157">
        <f t="shared" si="4"/>
        <v>0.54</v>
      </c>
      <c r="V43" s="86"/>
      <c r="W43" s="86"/>
      <c r="X43" s="86"/>
    </row>
    <row r="44" spans="1:24">
      <c r="A44" s="152"/>
      <c r="B44" s="173"/>
      <c r="C44" s="174" t="s">
        <v>250</v>
      </c>
      <c r="D44" s="176">
        <v>297</v>
      </c>
      <c r="E44" s="176">
        <v>130.69999999999999</v>
      </c>
      <c r="F44" s="175"/>
      <c r="G44" s="176">
        <f>(D44-LookupData!$AM$4*E44)/(LookupData!$AM$2-LookupData!$AM$4)</f>
        <v>91.294285714285735</v>
      </c>
      <c r="H44" s="176">
        <f t="shared" si="5"/>
        <v>39.405714285714254</v>
      </c>
      <c r="I44" s="175"/>
      <c r="J44" s="176">
        <f>D44*LookupData!$AN$10</f>
        <v>936.95234283786272</v>
      </c>
      <c r="K44" s="176">
        <f>E44*LookupData!$AN$10</f>
        <v>412.32212528252069</v>
      </c>
      <c r="L44" s="178"/>
      <c r="M44" s="176">
        <f>G44*LookupData!$AN$10</f>
        <v>288.00806359498063</v>
      </c>
      <c r="N44" s="176">
        <f>H44*LookupData!$AN$10</f>
        <v>124.31406168754009</v>
      </c>
      <c r="O44" s="178"/>
      <c r="P44" s="176">
        <f>(M44+N44*0.75)*LookupData!AN$7</f>
        <v>35.418690336627037</v>
      </c>
      <c r="Q44" s="179">
        <f t="shared" si="3"/>
        <v>381.24360986063573</v>
      </c>
      <c r="R44" s="156"/>
      <c r="S44" s="86"/>
      <c r="T44" s="86"/>
      <c r="U44" s="157">
        <f t="shared" si="4"/>
        <v>0.7</v>
      </c>
      <c r="V44" s="86"/>
      <c r="W44" s="86"/>
      <c r="X44" s="86"/>
    </row>
    <row r="45" spans="1:24">
      <c r="A45" s="152"/>
      <c r="B45" s="180"/>
      <c r="C45" s="181" t="s">
        <v>241</v>
      </c>
      <c r="D45" s="183">
        <v>112</v>
      </c>
      <c r="E45" s="183">
        <v>56.2</v>
      </c>
      <c r="F45" s="182"/>
      <c r="G45" s="183">
        <f>(D45-LookupData!$AM$4*E45)/(LookupData!$AM$2-LookupData!$AM$4)</f>
        <v>30.28</v>
      </c>
      <c r="H45" s="183">
        <f t="shared" si="5"/>
        <v>25.92</v>
      </c>
      <c r="I45" s="182"/>
      <c r="J45" s="183">
        <f>D45*LookupData!$AN$10</f>
        <v>353.32882962235897</v>
      </c>
      <c r="K45" s="183">
        <f>E45*LookupData!$AN$10</f>
        <v>177.29535914979087</v>
      </c>
      <c r="L45" s="184"/>
      <c r="M45" s="183">
        <f>G45*LookupData!$AN$10</f>
        <v>95.52497286575921</v>
      </c>
      <c r="N45" s="183">
        <f>H45*LookupData!$AN$10</f>
        <v>81.770386284031659</v>
      </c>
      <c r="O45" s="184"/>
      <c r="P45" s="183">
        <f>(M45+N45*0.75)*LookupData!AN$7</f>
        <v>14.572098475967179</v>
      </c>
      <c r="Q45" s="185">
        <f t="shared" si="3"/>
        <v>156.85276257878297</v>
      </c>
      <c r="R45" s="156"/>
      <c r="S45" s="86"/>
      <c r="T45" s="86"/>
      <c r="U45" s="157">
        <f t="shared" si="4"/>
        <v>0.54</v>
      </c>
      <c r="V45" s="86"/>
      <c r="W45" s="86"/>
      <c r="X45" s="86"/>
    </row>
    <row r="46" spans="1:24">
      <c r="A46" s="152"/>
      <c r="B46" s="166" t="s">
        <v>180</v>
      </c>
      <c r="C46" s="167" t="s">
        <v>181</v>
      </c>
      <c r="D46" s="169">
        <v>112</v>
      </c>
      <c r="E46" s="169">
        <v>50.8</v>
      </c>
      <c r="F46" s="168"/>
      <c r="G46" s="169">
        <f>(D46-LookupData!$AM$4*E46)/(LookupData!$AM$2-LookupData!$AM$4)</f>
        <v>33.520000000000003</v>
      </c>
      <c r="H46" s="169">
        <f t="shared" ref="H46:H51" si="6">E46-G46</f>
        <v>17.279999999999994</v>
      </c>
      <c r="I46" s="168"/>
      <c r="J46" s="169">
        <f>D46*LookupData!$AN$10</f>
        <v>353.32882962235897</v>
      </c>
      <c r="K46" s="169">
        <f>E46*LookupData!$AN$10</f>
        <v>160.25986200728426</v>
      </c>
      <c r="L46" s="171"/>
      <c r="M46" s="169">
        <f>G46*LookupData!$AN$10</f>
        <v>105.74627115126317</v>
      </c>
      <c r="N46" s="169">
        <f>H46*LookupData!$AN$10</f>
        <v>54.513590856021082</v>
      </c>
      <c r="O46" s="171"/>
      <c r="P46" s="169">
        <f>(M46+N46*0.75)*LookupData!AN$7</f>
        <v>13.62250879249707</v>
      </c>
      <c r="Q46" s="172">
        <f t="shared" si="3"/>
        <v>146.63146429327898</v>
      </c>
      <c r="R46" s="156"/>
      <c r="S46" s="86"/>
      <c r="T46" s="86"/>
      <c r="U46" s="157">
        <f t="shared" si="4"/>
        <v>0.66</v>
      </c>
      <c r="V46" s="86"/>
      <c r="W46" s="86"/>
      <c r="X46" s="86"/>
    </row>
    <row r="47" spans="1:24">
      <c r="A47" s="152"/>
      <c r="B47" s="173"/>
      <c r="C47" s="174" t="s">
        <v>182</v>
      </c>
      <c r="D47" s="176">
        <v>112</v>
      </c>
      <c r="E47" s="176">
        <v>50.8</v>
      </c>
      <c r="F47" s="175"/>
      <c r="G47" s="176">
        <f>(D47-LookupData!$AM$4*E47)/(LookupData!$AM$2-LookupData!$AM$4)</f>
        <v>33.520000000000003</v>
      </c>
      <c r="H47" s="176">
        <f t="shared" si="6"/>
        <v>17.279999999999994</v>
      </c>
      <c r="I47" s="175"/>
      <c r="J47" s="176">
        <f>D47*LookupData!$AN$10</f>
        <v>353.32882962235897</v>
      </c>
      <c r="K47" s="176">
        <f>E47*LookupData!$AN$10</f>
        <v>160.25986200728426</v>
      </c>
      <c r="L47" s="178"/>
      <c r="M47" s="176">
        <f>G47*LookupData!$AN$10</f>
        <v>105.74627115126317</v>
      </c>
      <c r="N47" s="176">
        <f>H47*LookupData!$AN$10</f>
        <v>54.513590856021082</v>
      </c>
      <c r="O47" s="178"/>
      <c r="P47" s="176">
        <f>(M47+N47*0.75)*LookupData!AN$7</f>
        <v>13.62250879249707</v>
      </c>
      <c r="Q47" s="179">
        <f t="shared" si="3"/>
        <v>146.63146429327898</v>
      </c>
      <c r="R47" s="156"/>
      <c r="S47" s="86"/>
      <c r="T47" s="86"/>
      <c r="U47" s="157">
        <f t="shared" si="4"/>
        <v>0.66</v>
      </c>
      <c r="V47" s="86"/>
      <c r="W47" s="86"/>
      <c r="X47" s="86"/>
    </row>
    <row r="48" spans="1:24">
      <c r="A48" s="152"/>
      <c r="B48" s="173"/>
      <c r="C48" s="174" t="s">
        <v>251</v>
      </c>
      <c r="D48" s="176">
        <v>112</v>
      </c>
      <c r="E48" s="176">
        <v>50.8</v>
      </c>
      <c r="F48" s="175"/>
      <c r="G48" s="176">
        <f>(D48-LookupData!$AM$4*E48)/(LookupData!$AM$2-LookupData!$AM$4)</f>
        <v>33.520000000000003</v>
      </c>
      <c r="H48" s="176">
        <f t="shared" si="6"/>
        <v>17.279999999999994</v>
      </c>
      <c r="I48" s="175"/>
      <c r="J48" s="176">
        <f>D48*LookupData!$AN$10</f>
        <v>353.32882962235897</v>
      </c>
      <c r="K48" s="176">
        <f>E48*LookupData!$AN$10</f>
        <v>160.25986200728426</v>
      </c>
      <c r="L48" s="178"/>
      <c r="M48" s="176">
        <f>G48*LookupData!$AN$10</f>
        <v>105.74627115126317</v>
      </c>
      <c r="N48" s="176">
        <f>H48*LookupData!$AN$10</f>
        <v>54.513590856021082</v>
      </c>
      <c r="O48" s="178"/>
      <c r="P48" s="176">
        <f>(M48+N48*0.75)*LookupData!AN$7</f>
        <v>13.62250879249707</v>
      </c>
      <c r="Q48" s="179">
        <f t="shared" si="3"/>
        <v>146.63146429327898</v>
      </c>
      <c r="R48" s="156"/>
      <c r="S48" s="86"/>
      <c r="T48" s="86"/>
      <c r="U48" s="157">
        <f t="shared" si="4"/>
        <v>0.66</v>
      </c>
      <c r="V48" s="86"/>
      <c r="W48" s="86"/>
      <c r="X48" s="86"/>
    </row>
    <row r="49" spans="1:24">
      <c r="A49" s="152"/>
      <c r="B49" s="173"/>
      <c r="C49" s="174" t="s">
        <v>182</v>
      </c>
      <c r="D49" s="176">
        <v>112</v>
      </c>
      <c r="E49" s="176">
        <v>50.8</v>
      </c>
      <c r="F49" s="175"/>
      <c r="G49" s="176">
        <f>(D49-LookupData!$AM$4*E49)/(LookupData!$AM$2-LookupData!$AM$4)</f>
        <v>33.520000000000003</v>
      </c>
      <c r="H49" s="176">
        <f t="shared" si="6"/>
        <v>17.279999999999994</v>
      </c>
      <c r="I49" s="175"/>
      <c r="J49" s="176">
        <f>D49*LookupData!$AN$10</f>
        <v>353.32882962235897</v>
      </c>
      <c r="K49" s="176">
        <f>E49*LookupData!$AN$10</f>
        <v>160.25986200728426</v>
      </c>
      <c r="L49" s="178"/>
      <c r="M49" s="176">
        <f>G49*LookupData!$AN$10</f>
        <v>105.74627115126317</v>
      </c>
      <c r="N49" s="176">
        <f>H49*LookupData!$AN$10</f>
        <v>54.513590856021082</v>
      </c>
      <c r="O49" s="178"/>
      <c r="P49" s="176">
        <f>(M49+N49*0.75)*LookupData!AN$7</f>
        <v>13.62250879249707</v>
      </c>
      <c r="Q49" s="179">
        <f t="shared" si="3"/>
        <v>146.63146429327898</v>
      </c>
      <c r="R49" s="156"/>
      <c r="S49" s="86"/>
      <c r="T49" s="86"/>
      <c r="U49" s="157">
        <f t="shared" si="4"/>
        <v>0.66</v>
      </c>
      <c r="V49" s="86"/>
      <c r="W49" s="86"/>
      <c r="X49" s="86"/>
    </row>
    <row r="50" spans="1:24">
      <c r="A50" s="152"/>
      <c r="B50" s="173"/>
      <c r="C50" s="174" t="s">
        <v>183</v>
      </c>
      <c r="D50" s="176">
        <v>112</v>
      </c>
      <c r="E50" s="176">
        <v>50.8</v>
      </c>
      <c r="F50" s="175"/>
      <c r="G50" s="176">
        <f>(D50-LookupData!$AM$4*E50)/(LookupData!$AM$2-LookupData!$AM$4)</f>
        <v>33.520000000000003</v>
      </c>
      <c r="H50" s="176">
        <f t="shared" si="6"/>
        <v>17.279999999999994</v>
      </c>
      <c r="I50" s="175"/>
      <c r="J50" s="176">
        <f>D50*LookupData!$AN$10</f>
        <v>353.32882962235897</v>
      </c>
      <c r="K50" s="176">
        <f>E50*LookupData!$AN$10</f>
        <v>160.25986200728426</v>
      </c>
      <c r="L50" s="178"/>
      <c r="M50" s="176">
        <f>G50*LookupData!$AN$10</f>
        <v>105.74627115126317</v>
      </c>
      <c r="N50" s="176">
        <f>H50*LookupData!$AN$10</f>
        <v>54.513590856021082</v>
      </c>
      <c r="O50" s="178"/>
      <c r="P50" s="176">
        <f>(M50+N50*0.75)*LookupData!AN$7</f>
        <v>13.62250879249707</v>
      </c>
      <c r="Q50" s="179">
        <f t="shared" si="3"/>
        <v>146.63146429327898</v>
      </c>
      <c r="R50" s="156"/>
      <c r="S50" s="86"/>
      <c r="T50" s="86"/>
      <c r="U50" s="157">
        <f t="shared" si="4"/>
        <v>0.66</v>
      </c>
      <c r="V50" s="86"/>
      <c r="W50" s="86"/>
      <c r="X50" s="86"/>
    </row>
    <row r="51" spans="1:24">
      <c r="A51" s="152"/>
      <c r="B51" s="180"/>
      <c r="C51" s="181" t="s">
        <v>184</v>
      </c>
      <c r="D51" s="183">
        <v>112</v>
      </c>
      <c r="E51" s="183">
        <v>50.8</v>
      </c>
      <c r="F51" s="182"/>
      <c r="G51" s="183">
        <f>(D51-LookupData!$AM$4*E51)/(LookupData!$AM$2-LookupData!$AM$4)</f>
        <v>33.520000000000003</v>
      </c>
      <c r="H51" s="183">
        <f t="shared" si="6"/>
        <v>17.279999999999994</v>
      </c>
      <c r="I51" s="182"/>
      <c r="J51" s="183">
        <f>D51*LookupData!$AN$10</f>
        <v>353.32882962235897</v>
      </c>
      <c r="K51" s="183">
        <f>E51*LookupData!$AN$10</f>
        <v>160.25986200728426</v>
      </c>
      <c r="L51" s="184"/>
      <c r="M51" s="183">
        <f>G51*LookupData!$AN$10</f>
        <v>105.74627115126317</v>
      </c>
      <c r="N51" s="183">
        <f>H51*LookupData!$AN$10</f>
        <v>54.513590856021082</v>
      </c>
      <c r="O51" s="184"/>
      <c r="P51" s="183">
        <f>(M51+N51*0.75)*LookupData!AN$7</f>
        <v>13.62250879249707</v>
      </c>
      <c r="Q51" s="185">
        <f t="shared" si="3"/>
        <v>146.63146429327898</v>
      </c>
      <c r="R51" s="156"/>
      <c r="S51" s="86"/>
      <c r="T51" s="86"/>
      <c r="U51" s="157">
        <f t="shared" si="4"/>
        <v>0.66</v>
      </c>
      <c r="V51" s="86"/>
      <c r="W51" s="86"/>
      <c r="X51" s="86"/>
    </row>
    <row r="52" spans="1:24">
      <c r="A52" s="152"/>
      <c r="B52" s="166" t="s">
        <v>185</v>
      </c>
      <c r="C52" s="167" t="s">
        <v>186</v>
      </c>
      <c r="D52" s="169">
        <v>592.6</v>
      </c>
      <c r="E52" s="169">
        <v>231.4</v>
      </c>
      <c r="F52" s="168"/>
      <c r="G52" s="169">
        <f>(D52-LookupData!$AM$4*E52)/(LookupData!$AM$2-LookupData!$AM$4)</f>
        <v>199.78857142857146</v>
      </c>
      <c r="H52" s="169">
        <f t="shared" ref="H52:H60" si="7">E52-G52</f>
        <v>31.611428571428547</v>
      </c>
      <c r="I52" s="168"/>
      <c r="J52" s="169">
        <f>D52*LookupData!$AN$10</f>
        <v>1869.488075305446</v>
      </c>
      <c r="K52" s="169">
        <f>E52*LookupData!$AN$10</f>
        <v>730.00259977333815</v>
      </c>
      <c r="L52" s="171"/>
      <c r="M52" s="169">
        <f>G52*LookupData!$AN$10</f>
        <v>630.27734031053774</v>
      </c>
      <c r="N52" s="169">
        <f>H52*LookupData!$AN$10</f>
        <v>99.725259462800437</v>
      </c>
      <c r="O52" s="171"/>
      <c r="P52" s="169">
        <f>(M52+N52*0.75)*LookupData!AN$7</f>
        <v>65.503265784625697</v>
      </c>
      <c r="Q52" s="172">
        <f t="shared" si="3"/>
        <v>705.07128490763807</v>
      </c>
      <c r="R52" s="156"/>
      <c r="S52" s="86"/>
      <c r="T52" s="86"/>
      <c r="U52" s="157">
        <f t="shared" si="4"/>
        <v>0.87</v>
      </c>
      <c r="V52" s="86"/>
      <c r="W52" s="86"/>
      <c r="X52" s="86"/>
    </row>
    <row r="53" spans="1:24">
      <c r="A53" s="152"/>
      <c r="B53" s="173"/>
      <c r="C53" s="174" t="s">
        <v>250</v>
      </c>
      <c r="D53" s="176">
        <v>297</v>
      </c>
      <c r="E53" s="176">
        <v>130.69999999999999</v>
      </c>
      <c r="F53" s="175"/>
      <c r="G53" s="176">
        <f>(D53-LookupData!$AM$4*E53)/(LookupData!$AM$2-LookupData!$AM$4)</f>
        <v>91.294285714285735</v>
      </c>
      <c r="H53" s="176">
        <f t="shared" si="7"/>
        <v>39.405714285714254</v>
      </c>
      <c r="I53" s="175"/>
      <c r="J53" s="176">
        <f>D53*LookupData!$AN$10</f>
        <v>936.95234283786272</v>
      </c>
      <c r="K53" s="176">
        <f>E53*LookupData!$AN$10</f>
        <v>412.32212528252069</v>
      </c>
      <c r="L53" s="178"/>
      <c r="M53" s="176">
        <f>G53*LookupData!$AN$10</f>
        <v>288.00806359498063</v>
      </c>
      <c r="N53" s="176">
        <f>H53*LookupData!$AN$10</f>
        <v>124.31406168754009</v>
      </c>
      <c r="O53" s="178"/>
      <c r="P53" s="176">
        <f>(M53+N53*0.75)*LookupData!AN$7</f>
        <v>35.418690336627037</v>
      </c>
      <c r="Q53" s="179">
        <f t="shared" si="3"/>
        <v>381.24360986063573</v>
      </c>
      <c r="R53" s="156"/>
      <c r="S53" s="86"/>
      <c r="T53" s="86"/>
      <c r="U53" s="157">
        <f t="shared" si="4"/>
        <v>0.7</v>
      </c>
      <c r="V53" s="86"/>
      <c r="W53" s="86"/>
      <c r="X53" s="86"/>
    </row>
    <row r="54" spans="1:24">
      <c r="A54" s="152"/>
      <c r="B54" s="173"/>
      <c r="C54" s="174" t="s">
        <v>187</v>
      </c>
      <c r="D54" s="176">
        <v>886.4</v>
      </c>
      <c r="E54" s="176">
        <v>402.7</v>
      </c>
      <c r="F54" s="175"/>
      <c r="G54" s="176">
        <f>(D54-LookupData!$AM$4*E54)/(LookupData!$AM$2-LookupData!$AM$4)</f>
        <v>264.89428571428573</v>
      </c>
      <c r="H54" s="176">
        <f t="shared" si="7"/>
        <v>137.80571428571426</v>
      </c>
      <c r="I54" s="175"/>
      <c r="J54" s="176">
        <f>D54*LookupData!$AN$10</f>
        <v>2796.345308725527</v>
      </c>
      <c r="K54" s="176">
        <f>E54*LookupData!$AN$10</f>
        <v>1270.406425793964</v>
      </c>
      <c r="L54" s="178"/>
      <c r="M54" s="176">
        <f>G54*LookupData!$AN$10</f>
        <v>835.66774950963702</v>
      </c>
      <c r="N54" s="176">
        <f>H54*LookupData!$AN$10</f>
        <v>434.73867628432691</v>
      </c>
      <c r="O54" s="178"/>
      <c r="P54" s="176">
        <f>(M54+N54*0.75)*LookupData!AN$7</f>
        <v>107.9274828336962</v>
      </c>
      <c r="Q54" s="179">
        <f t="shared" si="3"/>
        <v>1161.7217567228822</v>
      </c>
      <c r="R54" s="156"/>
      <c r="S54" s="86"/>
      <c r="T54" s="86"/>
      <c r="U54" s="157">
        <f t="shared" si="4"/>
        <v>0.66</v>
      </c>
      <c r="V54" s="86"/>
      <c r="W54" s="86"/>
      <c r="X54" s="86"/>
    </row>
    <row r="55" spans="1:24">
      <c r="A55" s="152"/>
      <c r="B55" s="173"/>
      <c r="C55" s="174" t="s">
        <v>188</v>
      </c>
      <c r="D55" s="176">
        <v>573.70000000000005</v>
      </c>
      <c r="E55" s="176">
        <v>325.60000000000002</v>
      </c>
      <c r="F55" s="175"/>
      <c r="G55" s="176">
        <f>(D55-LookupData!$AM$4*E55)/(LookupData!$AM$2-LookupData!$AM$4)</f>
        <v>132.46857142857144</v>
      </c>
      <c r="H55" s="176">
        <f t="shared" si="7"/>
        <v>193.13142857142859</v>
      </c>
      <c r="I55" s="175"/>
      <c r="J55" s="176">
        <f>D55*LookupData!$AN$10</f>
        <v>1809.8638353066729</v>
      </c>
      <c r="K55" s="176">
        <f>E55*LookupData!$AN$10</f>
        <v>1027.1773832592867</v>
      </c>
      <c r="L55" s="178"/>
      <c r="M55" s="176">
        <f>G55*LookupData!$AN$10</f>
        <v>417.90147593395545</v>
      </c>
      <c r="N55" s="176">
        <f>H55*LookupData!$AN$10</f>
        <v>609.2759073253311</v>
      </c>
      <c r="O55" s="178"/>
      <c r="P55" s="176">
        <f>(M55+N55*0.75)*LookupData!AN$7</f>
        <v>81.277005526712458</v>
      </c>
      <c r="Q55" s="179">
        <f t="shared" si="3"/>
        <v>874.85840642795381</v>
      </c>
      <c r="R55" s="156"/>
      <c r="S55" s="86"/>
      <c r="T55" s="86"/>
      <c r="U55" s="157">
        <f t="shared" si="4"/>
        <v>0.41000000000000003</v>
      </c>
      <c r="V55" s="86"/>
      <c r="W55" s="86"/>
      <c r="X55" s="86"/>
    </row>
    <row r="56" spans="1:24">
      <c r="A56" s="152"/>
      <c r="B56" s="173"/>
      <c r="C56" s="174" t="s">
        <v>252</v>
      </c>
      <c r="D56" s="176">
        <v>573.70000000000005</v>
      </c>
      <c r="E56" s="176">
        <v>325.60000000000002</v>
      </c>
      <c r="F56" s="175"/>
      <c r="G56" s="176">
        <f>(D56-LookupData!$AM$4*E56)/(LookupData!$AM$2-LookupData!$AM$4)</f>
        <v>132.46857142857144</v>
      </c>
      <c r="H56" s="176">
        <f t="shared" si="7"/>
        <v>193.13142857142859</v>
      </c>
      <c r="I56" s="175"/>
      <c r="J56" s="176">
        <f>D56*LookupData!$AN$10</f>
        <v>1809.8638353066729</v>
      </c>
      <c r="K56" s="176">
        <f>E56*LookupData!$AN$10</f>
        <v>1027.1773832592867</v>
      </c>
      <c r="L56" s="178"/>
      <c r="M56" s="176">
        <f>G56*LookupData!$AN$10</f>
        <v>417.90147593395545</v>
      </c>
      <c r="N56" s="176">
        <f>H56*LookupData!$AN$10</f>
        <v>609.2759073253311</v>
      </c>
      <c r="O56" s="178"/>
      <c r="P56" s="176">
        <f>(M56+N56*0.75)*LookupData!AN$7</f>
        <v>81.277005526712458</v>
      </c>
      <c r="Q56" s="179">
        <f t="shared" si="3"/>
        <v>874.85840642795381</v>
      </c>
      <c r="R56" s="156"/>
      <c r="S56" s="86"/>
      <c r="T56" s="86"/>
      <c r="U56" s="157">
        <f t="shared" si="4"/>
        <v>0.41000000000000003</v>
      </c>
      <c r="V56" s="86"/>
      <c r="W56" s="86"/>
      <c r="X56" s="86"/>
    </row>
    <row r="57" spans="1:24">
      <c r="A57" s="152"/>
      <c r="B57" s="173"/>
      <c r="C57" s="174" t="s">
        <v>253</v>
      </c>
      <c r="D57" s="176">
        <v>444</v>
      </c>
      <c r="E57" s="176">
        <v>196</v>
      </c>
      <c r="F57" s="175"/>
      <c r="G57" s="176">
        <f>(D57-LookupData!$AM$4*E57)/(LookupData!$AM$2-LookupData!$AM$4)</f>
        <v>136.11428571428573</v>
      </c>
      <c r="H57" s="176">
        <f t="shared" si="7"/>
        <v>59.885714285714272</v>
      </c>
      <c r="I57" s="175"/>
      <c r="J57" s="176">
        <f>D57*LookupData!$AN$10</f>
        <v>1400.696431717209</v>
      </c>
      <c r="K57" s="176">
        <f>E57*LookupData!$AN$10</f>
        <v>618.32545183912828</v>
      </c>
      <c r="L57" s="178"/>
      <c r="M57" s="176">
        <f>G57*LookupData!$AN$10</f>
        <v>429.40268987778529</v>
      </c>
      <c r="N57" s="176">
        <f>H57*LookupData!$AN$10</f>
        <v>188.92276196134293</v>
      </c>
      <c r="O57" s="178"/>
      <c r="P57" s="176">
        <f>(M57+N57*0.75)*LookupData!AN$7</f>
        <v>53.056439457377323</v>
      </c>
      <c r="Q57" s="179">
        <f t="shared" si="3"/>
        <v>571.09476134879242</v>
      </c>
      <c r="R57" s="156"/>
      <c r="S57" s="86"/>
      <c r="T57" s="86"/>
      <c r="U57" s="157">
        <f t="shared" si="4"/>
        <v>0.7</v>
      </c>
      <c r="V57" s="86"/>
      <c r="W57" s="86"/>
      <c r="X57" s="86"/>
    </row>
    <row r="58" spans="1:24" ht="15.75" customHeight="1">
      <c r="A58" s="152"/>
      <c r="B58" s="173"/>
      <c r="C58" s="174" t="s">
        <v>254</v>
      </c>
      <c r="D58" s="176">
        <v>120</v>
      </c>
      <c r="E58" s="176">
        <v>51.4</v>
      </c>
      <c r="F58" s="175"/>
      <c r="G58" s="176">
        <f>(D58-LookupData!$AM$4*E58)/(LookupData!$AM$2-LookupData!$AM$4)</f>
        <v>37.73142857142858</v>
      </c>
      <c r="H58" s="176">
        <f t="shared" si="7"/>
        <v>13.668571428571418</v>
      </c>
      <c r="I58" s="175"/>
      <c r="J58" s="176">
        <f>D58*LookupData!$AN$10</f>
        <v>378.5666031668132</v>
      </c>
      <c r="K58" s="176">
        <f>E58*LookupData!$AN$10</f>
        <v>162.15269502311833</v>
      </c>
      <c r="L58" s="178"/>
      <c r="M58" s="176">
        <f>G58*LookupData!$AN$10</f>
        <v>119.03215622430801</v>
      </c>
      <c r="N58" s="176">
        <f>H58*LookupData!$AN$10</f>
        <v>43.120538798810308</v>
      </c>
      <c r="O58" s="178"/>
      <c r="P58" s="176">
        <f>(M58+N58*0.75)*LookupData!AN$7</f>
        <v>14.062971026628706</v>
      </c>
      <c r="Q58" s="179">
        <f t="shared" si="3"/>
        <v>151.37256032341574</v>
      </c>
      <c r="R58" s="156"/>
      <c r="S58" s="86"/>
      <c r="T58" s="86"/>
      <c r="U58" s="157">
        <f t="shared" si="4"/>
        <v>0.74</v>
      </c>
      <c r="V58" s="86"/>
      <c r="W58" s="86"/>
      <c r="X58" s="86"/>
    </row>
    <row r="59" spans="1:24">
      <c r="A59" s="152"/>
      <c r="B59" s="173"/>
      <c r="C59" s="174" t="s">
        <v>189</v>
      </c>
      <c r="D59" s="176">
        <v>592.6</v>
      </c>
      <c r="E59" s="176">
        <v>231.4</v>
      </c>
      <c r="F59" s="175"/>
      <c r="G59" s="176">
        <f>(D59-LookupData!$AM$4*E59)/(LookupData!$AM$2-LookupData!$AM$4)</f>
        <v>199.78857142857146</v>
      </c>
      <c r="H59" s="176">
        <f t="shared" si="7"/>
        <v>31.611428571428547</v>
      </c>
      <c r="I59" s="175"/>
      <c r="J59" s="176">
        <f>D59*LookupData!$AN$10</f>
        <v>1869.488075305446</v>
      </c>
      <c r="K59" s="176">
        <f>E59*LookupData!$AN$10</f>
        <v>730.00259977333815</v>
      </c>
      <c r="L59" s="178"/>
      <c r="M59" s="176">
        <f>G59*LookupData!$AN$10</f>
        <v>630.27734031053774</v>
      </c>
      <c r="N59" s="176">
        <f>H59*LookupData!$AN$10</f>
        <v>99.725259462800437</v>
      </c>
      <c r="O59" s="178"/>
      <c r="P59" s="176">
        <f>(M59+N59*0.75)*LookupData!AN$7</f>
        <v>65.503265784625697</v>
      </c>
      <c r="Q59" s="179">
        <f t="shared" si="3"/>
        <v>705.07128490763807</v>
      </c>
      <c r="R59" s="156"/>
      <c r="S59" s="86"/>
      <c r="T59" s="86"/>
      <c r="U59" s="157">
        <f t="shared" si="4"/>
        <v>0.87</v>
      </c>
      <c r="V59" s="86"/>
      <c r="W59" s="86"/>
      <c r="X59" s="86"/>
    </row>
    <row r="60" spans="1:24">
      <c r="A60" s="152"/>
      <c r="B60" s="180"/>
      <c r="C60" s="181" t="s">
        <v>190</v>
      </c>
      <c r="D60" s="183">
        <v>527.70000000000005</v>
      </c>
      <c r="E60" s="183">
        <v>270.3</v>
      </c>
      <c r="F60" s="182"/>
      <c r="G60" s="183">
        <f>(D60-LookupData!$AM$4*E60)/(LookupData!$AM$2-LookupData!$AM$4)</f>
        <v>139.36285714285719</v>
      </c>
      <c r="H60" s="183">
        <f t="shared" si="7"/>
        <v>130.93714285714282</v>
      </c>
      <c r="I60" s="182"/>
      <c r="J60" s="183">
        <f>D60*LookupData!$AN$10</f>
        <v>1664.7466374260612</v>
      </c>
      <c r="K60" s="183">
        <f>E60*LookupData!$AN$10</f>
        <v>852.72127363324682</v>
      </c>
      <c r="L60" s="184"/>
      <c r="M60" s="183">
        <f>G60*LookupData!$AN$10</f>
        <v>439.65102863494417</v>
      </c>
      <c r="N60" s="183">
        <f>H60*LookupData!$AN$10</f>
        <v>413.07024499830266</v>
      </c>
      <c r="O60" s="184"/>
      <c r="P60" s="183">
        <f>(M60+N60*0.75)*LookupData!AN$7</f>
        <v>69.626528219728698</v>
      </c>
      <c r="Q60" s="185">
        <f t="shared" si="3"/>
        <v>749.45371238367113</v>
      </c>
      <c r="R60" s="156"/>
      <c r="S60" s="86"/>
      <c r="T60" s="86"/>
      <c r="U60" s="157">
        <f t="shared" si="4"/>
        <v>0.52</v>
      </c>
      <c r="V60" s="86"/>
      <c r="W60" s="86"/>
      <c r="X60" s="86"/>
    </row>
    <row r="61" spans="1:24">
      <c r="A61" s="152"/>
      <c r="B61" s="166" t="s">
        <v>191</v>
      </c>
      <c r="C61" s="167" t="s">
        <v>192</v>
      </c>
      <c r="D61" s="169">
        <v>138.30000000000001</v>
      </c>
      <c r="E61" s="169">
        <v>62</v>
      </c>
      <c r="F61" s="168"/>
      <c r="G61" s="169">
        <f>(D61-LookupData!$AM$4*E61)/(LookupData!$AM$2-LookupData!$AM$4)</f>
        <v>41.828571428571436</v>
      </c>
      <c r="H61" s="169">
        <f t="shared" ref="H61:H68" si="8">E61-G61</f>
        <v>20.171428571428564</v>
      </c>
      <c r="I61" s="168"/>
      <c r="J61" s="169">
        <f>D61*LookupData!$AN$10</f>
        <v>436.29801014975226</v>
      </c>
      <c r="K61" s="169">
        <f>E61*LookupData!$AN$10</f>
        <v>195.59274496952017</v>
      </c>
      <c r="L61" s="171"/>
      <c r="M61" s="169">
        <f>G61*LookupData!$AN$10</f>
        <v>131.95750167528919</v>
      </c>
      <c r="N61" s="169">
        <f>H61*LookupData!$AN$10</f>
        <v>63.63524329423096</v>
      </c>
      <c r="O61" s="171"/>
      <c r="P61" s="169">
        <f>(M61+N61*0.75)*LookupData!AN$7</f>
        <v>16.693183721319713</v>
      </c>
      <c r="Q61" s="172">
        <f t="shared" si="3"/>
        <v>179.68393414596241</v>
      </c>
      <c r="R61" s="156"/>
      <c r="S61" s="86"/>
      <c r="T61" s="86"/>
      <c r="U61" s="157">
        <f t="shared" si="4"/>
        <v>0.68</v>
      </c>
      <c r="V61" s="86"/>
      <c r="W61" s="86"/>
      <c r="X61" s="86"/>
    </row>
    <row r="62" spans="1:24" ht="30">
      <c r="A62" s="152"/>
      <c r="B62" s="173"/>
      <c r="C62" s="174" t="s">
        <v>243</v>
      </c>
      <c r="D62" s="176">
        <v>426.9</v>
      </c>
      <c r="E62" s="176">
        <v>234.3</v>
      </c>
      <c r="F62" s="175"/>
      <c r="G62" s="176">
        <f>(D62-LookupData!$AM$4*E62)/(LookupData!$AM$2-LookupData!$AM$4)</f>
        <v>103.36285714285714</v>
      </c>
      <c r="H62" s="176">
        <f t="shared" si="8"/>
        <v>130.93714285714287</v>
      </c>
      <c r="I62" s="175"/>
      <c r="J62" s="176">
        <f>D62*LookupData!$AN$10</f>
        <v>1346.7506907659379</v>
      </c>
      <c r="K62" s="176">
        <f>E62*LookupData!$AN$10</f>
        <v>739.15129268320288</v>
      </c>
      <c r="L62" s="178"/>
      <c r="M62" s="176">
        <f>G62*LookupData!$AN$10</f>
        <v>326.0810476849</v>
      </c>
      <c r="N62" s="176">
        <f>H62*LookupData!$AN$10</f>
        <v>413.07024499830283</v>
      </c>
      <c r="O62" s="178"/>
      <c r="P62" s="176">
        <f>(M62+N62*0.75)*LookupData!AN$7</f>
        <v>59.075531736727527</v>
      </c>
      <c r="Q62" s="179">
        <f t="shared" si="3"/>
        <v>635.88373143362719</v>
      </c>
      <c r="R62" s="156"/>
      <c r="S62" s="86"/>
      <c r="T62" s="86"/>
      <c r="U62" s="157">
        <f t="shared" si="4"/>
        <v>0.45</v>
      </c>
      <c r="V62" s="86"/>
      <c r="W62" s="86"/>
      <c r="X62" s="86"/>
    </row>
    <row r="63" spans="1:24">
      <c r="A63" s="152"/>
      <c r="B63" s="173"/>
      <c r="C63" s="174" t="s">
        <v>244</v>
      </c>
      <c r="D63" s="176">
        <v>433.9</v>
      </c>
      <c r="E63" s="176">
        <v>206.7</v>
      </c>
      <c r="F63" s="175"/>
      <c r="G63" s="176">
        <f>(D63-LookupData!$AM$4*E63)/(LookupData!$AM$2-LookupData!$AM$4)</f>
        <v>123.92285714285715</v>
      </c>
      <c r="H63" s="176">
        <f t="shared" si="8"/>
        <v>82.777142857142834</v>
      </c>
      <c r="I63" s="175"/>
      <c r="J63" s="176">
        <f>D63*LookupData!$AN$10</f>
        <v>1368.8337426173352</v>
      </c>
      <c r="K63" s="176">
        <f>E63*LookupData!$AN$10</f>
        <v>652.08097395483571</v>
      </c>
      <c r="L63" s="178"/>
      <c r="M63" s="176">
        <f>G63*LookupData!$AN$10</f>
        <v>390.94212569414742</v>
      </c>
      <c r="N63" s="176">
        <f>H63*LookupData!$AN$10</f>
        <v>261.13884826068829</v>
      </c>
      <c r="O63" s="178"/>
      <c r="P63" s="176">
        <f>(M63+N63*0.75)*LookupData!AN$7</f>
        <v>54.515156590185896</v>
      </c>
      <c r="Q63" s="179">
        <f t="shared" si="3"/>
        <v>586.79626188966358</v>
      </c>
      <c r="R63" s="156"/>
      <c r="S63" s="86"/>
      <c r="T63" s="86"/>
      <c r="U63" s="157">
        <f t="shared" si="4"/>
        <v>0.6</v>
      </c>
      <c r="V63" s="86"/>
      <c r="W63" s="86"/>
      <c r="X63" s="86"/>
    </row>
    <row r="64" spans="1:24">
      <c r="A64" s="152"/>
      <c r="B64" s="173"/>
      <c r="C64" s="174" t="s">
        <v>193</v>
      </c>
      <c r="D64" s="176">
        <v>121.7</v>
      </c>
      <c r="E64" s="176">
        <v>51.2</v>
      </c>
      <c r="F64" s="175"/>
      <c r="G64" s="176">
        <f>(D64-LookupData!$AM$4*E64)/(LookupData!$AM$2-LookupData!$AM$4)</f>
        <v>38.822857142857146</v>
      </c>
      <c r="H64" s="176">
        <f t="shared" si="8"/>
        <v>12.377142857142857</v>
      </c>
      <c r="I64" s="175"/>
      <c r="J64" s="176">
        <f>D64*LookupData!$AN$10</f>
        <v>383.92963004500973</v>
      </c>
      <c r="K64" s="176">
        <f>E64*LookupData!$AN$10</f>
        <v>161.52175068450697</v>
      </c>
      <c r="L64" s="178"/>
      <c r="M64" s="176">
        <f>G64*LookupData!$AN$10</f>
        <v>122.47530961501568</v>
      </c>
      <c r="N64" s="176">
        <f>H64*LookupData!$AN$10</f>
        <v>39.046441069491308</v>
      </c>
      <c r="O64" s="178"/>
      <c r="P64" s="176">
        <f>(M64+N64*0.75)*LookupData!AN$7</f>
        <v>14.098978395578632</v>
      </c>
      <c r="Q64" s="179">
        <f t="shared" si="3"/>
        <v>151.76014041713415</v>
      </c>
      <c r="R64" s="156"/>
      <c r="S64" s="86"/>
      <c r="T64" s="86"/>
      <c r="U64" s="157">
        <f t="shared" si="4"/>
        <v>0.76</v>
      </c>
      <c r="V64" s="86"/>
      <c r="W64" s="86"/>
      <c r="X64" s="86"/>
    </row>
    <row r="65" spans="1:24" ht="45">
      <c r="A65" s="152"/>
      <c r="B65" s="173"/>
      <c r="C65" s="174" t="s">
        <v>255</v>
      </c>
      <c r="D65" s="176">
        <v>138.30000000000001</v>
      </c>
      <c r="E65" s="176">
        <v>62</v>
      </c>
      <c r="F65" s="175"/>
      <c r="G65" s="176">
        <f>(D65-LookupData!$AM$4*E65)/(LookupData!$AM$2-LookupData!$AM$4)</f>
        <v>41.828571428571436</v>
      </c>
      <c r="H65" s="176">
        <f t="shared" si="8"/>
        <v>20.171428571428564</v>
      </c>
      <c r="I65" s="175"/>
      <c r="J65" s="176">
        <f>D65*LookupData!$AN$10</f>
        <v>436.29801014975226</v>
      </c>
      <c r="K65" s="176">
        <f>E65*LookupData!$AN$10</f>
        <v>195.59274496952017</v>
      </c>
      <c r="L65" s="178"/>
      <c r="M65" s="176">
        <f>G65*LookupData!$AN$10</f>
        <v>131.95750167528919</v>
      </c>
      <c r="N65" s="176">
        <f>H65*LookupData!$AN$10</f>
        <v>63.63524329423096</v>
      </c>
      <c r="O65" s="178"/>
      <c r="P65" s="176">
        <f>(M65+N65*0.75)*LookupData!AN$7</f>
        <v>16.693183721319713</v>
      </c>
      <c r="Q65" s="179">
        <f t="shared" si="3"/>
        <v>179.68393414596241</v>
      </c>
      <c r="R65" s="156"/>
      <c r="S65" s="86"/>
      <c r="T65" s="86"/>
      <c r="U65" s="157">
        <f t="shared" si="4"/>
        <v>0.68</v>
      </c>
      <c r="V65" s="86"/>
      <c r="W65" s="86"/>
      <c r="X65" s="86"/>
    </row>
    <row r="66" spans="1:24">
      <c r="A66" s="152"/>
      <c r="B66" s="173"/>
      <c r="C66" s="174" t="s">
        <v>194</v>
      </c>
      <c r="D66" s="176">
        <v>213.2</v>
      </c>
      <c r="E66" s="176">
        <v>99</v>
      </c>
      <c r="F66" s="175"/>
      <c r="G66" s="176">
        <f>(D66-LookupData!$AM$4*E66)/(LookupData!$AM$2-LookupData!$AM$4)</f>
        <v>62.428571428571431</v>
      </c>
      <c r="H66" s="176">
        <f t="shared" si="8"/>
        <v>36.571428571428569</v>
      </c>
      <c r="I66" s="175"/>
      <c r="J66" s="176">
        <f>D66*LookupData!$AN$10</f>
        <v>672.58666495970476</v>
      </c>
      <c r="K66" s="176">
        <f>E66*LookupData!$AN$10</f>
        <v>312.31744761262092</v>
      </c>
      <c r="L66" s="178"/>
      <c r="M66" s="176">
        <f>G66*LookupData!$AN$10</f>
        <v>196.94476855225878</v>
      </c>
      <c r="N66" s="176">
        <f>H66*LookupData!$AN$10</f>
        <v>115.37267906036212</v>
      </c>
      <c r="O66" s="178"/>
      <c r="P66" s="176">
        <f>(M66+N66*0.75)*LookupData!AN$7</f>
        <v>26.335622173840232</v>
      </c>
      <c r="Q66" s="179">
        <f t="shared" si="3"/>
        <v>283.4742778475304</v>
      </c>
      <c r="R66" s="156"/>
      <c r="S66" s="86"/>
      <c r="T66" s="86"/>
      <c r="U66" s="157">
        <f t="shared" si="4"/>
        <v>0.64</v>
      </c>
      <c r="V66" s="86"/>
      <c r="W66" s="86"/>
      <c r="X66" s="86"/>
    </row>
    <row r="67" spans="1:24">
      <c r="A67" s="152"/>
      <c r="B67" s="173"/>
      <c r="C67" s="174" t="s">
        <v>195</v>
      </c>
      <c r="D67" s="176">
        <v>213.2</v>
      </c>
      <c r="E67" s="176">
        <v>99</v>
      </c>
      <c r="F67" s="175"/>
      <c r="G67" s="176">
        <f>(D67-LookupData!$AM$4*E67)/(LookupData!$AM$2-LookupData!$AM$4)</f>
        <v>62.428571428571431</v>
      </c>
      <c r="H67" s="176">
        <f t="shared" si="8"/>
        <v>36.571428571428569</v>
      </c>
      <c r="I67" s="175"/>
      <c r="J67" s="176">
        <f>D67*LookupData!$AN$10</f>
        <v>672.58666495970476</v>
      </c>
      <c r="K67" s="176">
        <f>E67*LookupData!$AN$10</f>
        <v>312.31744761262092</v>
      </c>
      <c r="L67" s="178"/>
      <c r="M67" s="176">
        <f>G67*LookupData!$AN$10</f>
        <v>196.94476855225878</v>
      </c>
      <c r="N67" s="176">
        <f>H67*LookupData!$AN$10</f>
        <v>115.37267906036212</v>
      </c>
      <c r="O67" s="178"/>
      <c r="P67" s="176">
        <f>(M67+N67*0.75)*LookupData!AN$7</f>
        <v>26.335622173840232</v>
      </c>
      <c r="Q67" s="179">
        <f t="shared" si="3"/>
        <v>283.4742778475304</v>
      </c>
      <c r="R67" s="156"/>
      <c r="S67" s="86"/>
      <c r="T67" s="86"/>
      <c r="U67" s="157">
        <f t="shared" si="4"/>
        <v>0.64</v>
      </c>
      <c r="V67" s="86"/>
      <c r="W67" s="86"/>
      <c r="X67" s="86"/>
    </row>
    <row r="68" spans="1:24" ht="30">
      <c r="A68" s="152"/>
      <c r="B68" s="180"/>
      <c r="C68" s="181" t="s">
        <v>256</v>
      </c>
      <c r="D68" s="183">
        <v>145.80000000000001</v>
      </c>
      <c r="E68" s="183">
        <v>64.5</v>
      </c>
      <c r="F68" s="182"/>
      <c r="G68" s="183">
        <f>(D68-LookupData!$AM$4*E68)/(LookupData!$AM$2-LookupData!$AM$4)</f>
        <v>44.614285714285721</v>
      </c>
      <c r="H68" s="183">
        <f t="shared" si="8"/>
        <v>19.885714285714279</v>
      </c>
      <c r="I68" s="182"/>
      <c r="J68" s="183">
        <f>D68*LookupData!$AN$10</f>
        <v>459.95842284767809</v>
      </c>
      <c r="K68" s="183">
        <f>E68*LookupData!$AN$10</f>
        <v>203.4795492021621</v>
      </c>
      <c r="L68" s="184"/>
      <c r="M68" s="183">
        <f>G68*LookupData!$AN$10</f>
        <v>140.74565496309023</v>
      </c>
      <c r="N68" s="183">
        <f>H68*LookupData!$AN$10</f>
        <v>62.73389423907188</v>
      </c>
      <c r="O68" s="184"/>
      <c r="P68" s="183">
        <f>(M68+N68*0.75)*LookupData!AN$7</f>
        <v>17.44682632724837</v>
      </c>
      <c r="Q68" s="185">
        <f t="shared" si="3"/>
        <v>187.79607564239416</v>
      </c>
      <c r="R68" s="156"/>
      <c r="S68" s="86"/>
      <c r="T68" s="86"/>
      <c r="U68" s="157">
        <f t="shared" si="4"/>
        <v>0.7</v>
      </c>
      <c r="V68" s="86"/>
      <c r="W68" s="86"/>
      <c r="X68" s="86"/>
    </row>
    <row r="69" spans="1:24">
      <c r="A69" s="152"/>
      <c r="B69" s="166" t="s">
        <v>196</v>
      </c>
      <c r="C69" s="167" t="s">
        <v>197</v>
      </c>
      <c r="D69" s="169">
        <v>107.5</v>
      </c>
      <c r="E69" s="169">
        <v>57.9</v>
      </c>
      <c r="F69" s="168"/>
      <c r="G69" s="169">
        <f>(D69-LookupData!$AM$4*E69)/(LookupData!$AM$2-LookupData!$AM$4)</f>
        <v>26.688571428571432</v>
      </c>
      <c r="H69" s="169">
        <f t="shared" ref="H69:H75" si="9">E69-G69</f>
        <v>31.211428571428566</v>
      </c>
      <c r="I69" s="168"/>
      <c r="J69" s="169">
        <f>D69*LookupData!$AN$10</f>
        <v>339.13258200360349</v>
      </c>
      <c r="K69" s="169">
        <f>E69*LookupData!$AN$10</f>
        <v>182.65838602798738</v>
      </c>
      <c r="L69" s="171"/>
      <c r="M69" s="169">
        <f>G69*LookupData!$AN$10</f>
        <v>84.195015242409582</v>
      </c>
      <c r="N69" s="169">
        <f>H69*LookupData!$AN$10</f>
        <v>98.46337078557778</v>
      </c>
      <c r="O69" s="171"/>
      <c r="P69" s="169">
        <f>(M69+N69*0.75)*LookupData!AN$7</f>
        <v>14.682632724836711</v>
      </c>
      <c r="Q69" s="172">
        <f t="shared" si="3"/>
        <v>158.04254333159292</v>
      </c>
      <c r="R69" s="156"/>
      <c r="S69" s="86"/>
      <c r="T69" s="86"/>
      <c r="U69" s="157">
        <f t="shared" si="4"/>
        <v>0.47000000000000003</v>
      </c>
      <c r="V69" s="86"/>
      <c r="W69" s="86"/>
      <c r="X69" s="86"/>
    </row>
    <row r="70" spans="1:24">
      <c r="A70" s="152"/>
      <c r="B70" s="173"/>
      <c r="C70" s="174" t="s">
        <v>198</v>
      </c>
      <c r="D70" s="176">
        <v>146.69999999999999</v>
      </c>
      <c r="E70" s="176">
        <v>63</v>
      </c>
      <c r="F70" s="175"/>
      <c r="G70" s="176">
        <f>(D70-LookupData!$AM$4*E70)/(LookupData!$AM$2-LookupData!$AM$4)</f>
        <v>46.028571428571425</v>
      </c>
      <c r="H70" s="176">
        <f t="shared" si="9"/>
        <v>16.971428571428575</v>
      </c>
      <c r="I70" s="175"/>
      <c r="J70" s="176">
        <f>D70*LookupData!$AN$10</f>
        <v>462.79767237142909</v>
      </c>
      <c r="K70" s="176">
        <f>E70*LookupData!$AN$10</f>
        <v>198.74746666257693</v>
      </c>
      <c r="L70" s="178"/>
      <c r="M70" s="176">
        <f>G70*LookupData!$AN$10</f>
        <v>145.20733278612764</v>
      </c>
      <c r="N70" s="176">
        <f>H70*LookupData!$AN$10</f>
        <v>53.54013387644931</v>
      </c>
      <c r="O70" s="178"/>
      <c r="P70" s="176">
        <f>(M70+N70*0.75)*LookupData!AN$7</f>
        <v>17.220733545469773</v>
      </c>
      <c r="Q70" s="179">
        <f t="shared" si="3"/>
        <v>185.36243319346462</v>
      </c>
      <c r="R70" s="156"/>
      <c r="S70" s="86"/>
      <c r="T70" s="86"/>
      <c r="U70" s="157">
        <f t="shared" si="4"/>
        <v>0.74</v>
      </c>
      <c r="V70" s="86"/>
      <c r="W70" s="86"/>
      <c r="X70" s="86"/>
    </row>
    <row r="71" spans="1:24">
      <c r="A71" s="152"/>
      <c r="B71" s="173"/>
      <c r="C71" s="174" t="s">
        <v>199</v>
      </c>
      <c r="D71" s="176">
        <v>118.1</v>
      </c>
      <c r="E71" s="176">
        <v>59.6</v>
      </c>
      <c r="F71" s="175"/>
      <c r="G71" s="176">
        <f>(D71-LookupData!$AM$4*E71)/(LookupData!$AM$2-LookupData!$AM$4)</f>
        <v>31.725714285714282</v>
      </c>
      <c r="H71" s="176">
        <f t="shared" si="9"/>
        <v>27.874285714285719</v>
      </c>
      <c r="I71" s="175"/>
      <c r="J71" s="176">
        <f>D71*LookupData!$AN$10</f>
        <v>372.5726319500053</v>
      </c>
      <c r="K71" s="176">
        <f>E71*LookupData!$AN$10</f>
        <v>188.02141290618391</v>
      </c>
      <c r="L71" s="178"/>
      <c r="M71" s="176">
        <f>G71*LookupData!$AN$10</f>
        <v>100.08579908486414</v>
      </c>
      <c r="N71" s="176">
        <f>H71*LookupData!$AN$10</f>
        <v>87.935613821319762</v>
      </c>
      <c r="O71" s="178"/>
      <c r="P71" s="176">
        <f>(M71+N71*0.75)*LookupData!AN$7</f>
        <v>15.425389382013066</v>
      </c>
      <c r="Q71" s="179">
        <f t="shared" si="3"/>
        <v>166.03750945085397</v>
      </c>
      <c r="R71" s="156"/>
      <c r="S71" s="86"/>
      <c r="T71" s="86"/>
      <c r="U71" s="157">
        <f t="shared" si="4"/>
        <v>0.54</v>
      </c>
      <c r="V71" s="86"/>
      <c r="W71" s="86"/>
      <c r="X71" s="86"/>
    </row>
    <row r="72" spans="1:24">
      <c r="A72" s="152"/>
      <c r="B72" s="173"/>
      <c r="C72" s="174" t="s">
        <v>257</v>
      </c>
      <c r="D72" s="176">
        <v>156.4</v>
      </c>
      <c r="E72" s="176">
        <v>69.900000000000006</v>
      </c>
      <c r="F72" s="175"/>
      <c r="G72" s="176">
        <f>(D72-LookupData!$AM$4*E72)/(LookupData!$AM$2-LookupData!$AM$4)</f>
        <v>47.431428571428576</v>
      </c>
      <c r="H72" s="176">
        <f t="shared" si="9"/>
        <v>22.46857142857143</v>
      </c>
      <c r="I72" s="175"/>
      <c r="J72" s="176">
        <f>D72*LookupData!$AN$10</f>
        <v>493.39847279407991</v>
      </c>
      <c r="K72" s="176">
        <f>E72*LookupData!$AN$10</f>
        <v>220.51504634466872</v>
      </c>
      <c r="L72" s="178"/>
      <c r="M72" s="176">
        <f>G72*LookupData!$AN$10</f>
        <v>149.63295664695872</v>
      </c>
      <c r="N72" s="176">
        <f>H72*LookupData!$AN$10</f>
        <v>70.882089697709986</v>
      </c>
      <c r="O72" s="178"/>
      <c r="P72" s="176">
        <f>(M72+N72*0.75)*LookupData!AN$7</f>
        <v>18.840227767543126</v>
      </c>
      <c r="Q72" s="179">
        <f t="shared" si="3"/>
        <v>202.7945239202412</v>
      </c>
      <c r="R72" s="156"/>
      <c r="S72" s="86"/>
      <c r="T72" s="86"/>
      <c r="U72" s="157">
        <f t="shared" si="4"/>
        <v>0.68</v>
      </c>
      <c r="V72" s="86"/>
      <c r="W72" s="86"/>
      <c r="X72" s="86"/>
    </row>
    <row r="73" spans="1:24">
      <c r="A73" s="152"/>
      <c r="B73" s="173"/>
      <c r="C73" s="174" t="s">
        <v>258</v>
      </c>
      <c r="D73" s="176">
        <v>107.5</v>
      </c>
      <c r="E73" s="176">
        <v>57.9</v>
      </c>
      <c r="F73" s="175"/>
      <c r="G73" s="176">
        <f>(D73-LookupData!$AM$4*E73)/(LookupData!$AM$2-LookupData!$AM$4)</f>
        <v>26.688571428571432</v>
      </c>
      <c r="H73" s="176">
        <f t="shared" si="9"/>
        <v>31.211428571428566</v>
      </c>
      <c r="I73" s="175"/>
      <c r="J73" s="176">
        <f>D73*LookupData!$AN$10</f>
        <v>339.13258200360349</v>
      </c>
      <c r="K73" s="176">
        <f>E73*LookupData!$AN$10</f>
        <v>182.65838602798738</v>
      </c>
      <c r="L73" s="178"/>
      <c r="M73" s="176">
        <f>G73*LookupData!$AN$10</f>
        <v>84.195015242409582</v>
      </c>
      <c r="N73" s="176">
        <f>H73*LookupData!$AN$10</f>
        <v>98.46337078557778</v>
      </c>
      <c r="O73" s="178"/>
      <c r="P73" s="176">
        <f>(M73+N73*0.75)*LookupData!AN$7</f>
        <v>14.682632724836711</v>
      </c>
      <c r="Q73" s="179">
        <f t="shared" si="3"/>
        <v>158.04254333159292</v>
      </c>
      <c r="R73" s="156"/>
      <c r="S73" s="86"/>
      <c r="T73" s="86"/>
      <c r="U73" s="157">
        <f t="shared" si="4"/>
        <v>0.47000000000000003</v>
      </c>
      <c r="V73" s="86"/>
      <c r="W73" s="86"/>
      <c r="X73" s="86"/>
    </row>
    <row r="74" spans="1:24">
      <c r="A74" s="152"/>
      <c r="B74" s="173"/>
      <c r="C74" s="174" t="s">
        <v>194</v>
      </c>
      <c r="D74" s="176">
        <v>213.2</v>
      </c>
      <c r="E74" s="176">
        <v>99</v>
      </c>
      <c r="F74" s="175"/>
      <c r="G74" s="176">
        <f>(D74-LookupData!$AM$4*E74)/(LookupData!$AM$2-LookupData!$AM$4)</f>
        <v>62.428571428571431</v>
      </c>
      <c r="H74" s="176">
        <f t="shared" si="9"/>
        <v>36.571428571428569</v>
      </c>
      <c r="I74" s="175"/>
      <c r="J74" s="176">
        <f>D74*LookupData!$AN$10</f>
        <v>672.58666495970476</v>
      </c>
      <c r="K74" s="176">
        <f>E74*LookupData!$AN$10</f>
        <v>312.31744761262092</v>
      </c>
      <c r="L74" s="178"/>
      <c r="M74" s="176">
        <f>G74*LookupData!$AN$10</f>
        <v>196.94476855225878</v>
      </c>
      <c r="N74" s="176">
        <f>H74*LookupData!$AN$10</f>
        <v>115.37267906036212</v>
      </c>
      <c r="O74" s="178"/>
      <c r="P74" s="176">
        <f>(M74+N74*0.75)*LookupData!AN$7</f>
        <v>26.335622173840232</v>
      </c>
      <c r="Q74" s="179">
        <f t="shared" si="3"/>
        <v>283.4742778475304</v>
      </c>
      <c r="R74" s="156"/>
      <c r="S74" s="86"/>
      <c r="T74" s="86"/>
      <c r="U74" s="157">
        <f t="shared" si="4"/>
        <v>0.64</v>
      </c>
      <c r="V74" s="86"/>
      <c r="W74" s="86"/>
      <c r="X74" s="86"/>
    </row>
    <row r="75" spans="1:24">
      <c r="A75" s="152"/>
      <c r="B75" s="173"/>
      <c r="C75" s="174" t="s">
        <v>195</v>
      </c>
      <c r="D75" s="176">
        <v>213.2</v>
      </c>
      <c r="E75" s="176">
        <v>99</v>
      </c>
      <c r="F75" s="175"/>
      <c r="G75" s="176">
        <f>(D75-LookupData!$AM$4*E75)/(LookupData!$AM$2-LookupData!$AM$4)</f>
        <v>62.428571428571431</v>
      </c>
      <c r="H75" s="176">
        <f t="shared" si="9"/>
        <v>36.571428571428569</v>
      </c>
      <c r="I75" s="175"/>
      <c r="J75" s="176">
        <f>D75*LookupData!$AN$10</f>
        <v>672.58666495970476</v>
      </c>
      <c r="K75" s="176">
        <f>E75*LookupData!$AN$10</f>
        <v>312.31744761262092</v>
      </c>
      <c r="L75" s="178"/>
      <c r="M75" s="176">
        <f>G75*LookupData!$AN$10</f>
        <v>196.94476855225878</v>
      </c>
      <c r="N75" s="176">
        <f>H75*LookupData!$AN$10</f>
        <v>115.37267906036212</v>
      </c>
      <c r="O75" s="178"/>
      <c r="P75" s="176">
        <f>(M75+N75*0.75)*LookupData!AN$7</f>
        <v>26.335622173840232</v>
      </c>
      <c r="Q75" s="179">
        <f t="shared" si="3"/>
        <v>283.4742778475304</v>
      </c>
      <c r="R75" s="156"/>
      <c r="S75" s="86"/>
      <c r="T75" s="86"/>
      <c r="U75" s="157">
        <f t="shared" si="4"/>
        <v>0.64</v>
      </c>
      <c r="V75" s="86"/>
      <c r="W75" s="86"/>
      <c r="X75" s="86"/>
    </row>
    <row r="76" spans="1:24">
      <c r="A76" s="152"/>
      <c r="B76" s="180"/>
      <c r="C76" s="181" t="s">
        <v>259</v>
      </c>
      <c r="D76" s="183">
        <v>143.6</v>
      </c>
      <c r="E76" s="183">
        <v>63.6</v>
      </c>
      <c r="F76" s="182"/>
      <c r="G76" s="183">
        <f>(D76-LookupData!$AM$4*E76)/(LookupData!$AM$2-LookupData!$AM$4)</f>
        <v>43.89714285714286</v>
      </c>
      <c r="H76" s="183">
        <f t="shared" ref="H76" si="10">E76-G76</f>
        <v>19.702857142857141</v>
      </c>
      <c r="I76" s="182"/>
      <c r="J76" s="183">
        <f>D76*LookupData!$AN$10</f>
        <v>453.01803512295311</v>
      </c>
      <c r="K76" s="183">
        <f>E76*LookupData!$AN$10</f>
        <v>200.640299678411</v>
      </c>
      <c r="L76" s="184"/>
      <c r="M76" s="183">
        <f>G76*LookupData!$AN$10</f>
        <v>138.48326883464091</v>
      </c>
      <c r="N76" s="183">
        <f>H76*LookupData!$AN$10</f>
        <v>62.157030843770087</v>
      </c>
      <c r="O76" s="184"/>
      <c r="P76" s="183">
        <f>(M76+N76*0.75)*LookupData!AN$7</f>
        <v>17.196449505945402</v>
      </c>
      <c r="Q76" s="185">
        <f t="shared" si="3"/>
        <v>185.10104196746846</v>
      </c>
      <c r="R76" s="156"/>
      <c r="S76" s="86"/>
      <c r="T76" s="86"/>
      <c r="U76" s="157">
        <f t="shared" si="4"/>
        <v>0.7</v>
      </c>
      <c r="V76" s="86"/>
      <c r="W76" s="86"/>
      <c r="X76" s="86"/>
    </row>
    <row r="77" spans="1:24">
      <c r="A77" s="152"/>
      <c r="B77" s="166" t="s">
        <v>200</v>
      </c>
      <c r="C77" s="167" t="s">
        <v>193</v>
      </c>
      <c r="D77" s="169">
        <v>121.7</v>
      </c>
      <c r="E77" s="169">
        <v>51.2</v>
      </c>
      <c r="F77" s="168"/>
      <c r="G77" s="169">
        <f>(D77-LookupData!$AM$4*E77)/(LookupData!$AM$2-LookupData!$AM$4)</f>
        <v>38.822857142857146</v>
      </c>
      <c r="H77" s="169">
        <f t="shared" ref="H77:H79" si="11">E77-G77</f>
        <v>12.377142857142857</v>
      </c>
      <c r="I77" s="168"/>
      <c r="J77" s="169">
        <f>D77*LookupData!$AN$10</f>
        <v>383.92963004500973</v>
      </c>
      <c r="K77" s="169">
        <f>E77*LookupData!$AN$10</f>
        <v>161.52175068450697</v>
      </c>
      <c r="L77" s="171"/>
      <c r="M77" s="169">
        <f>G77*LookupData!$AN$10</f>
        <v>122.47530961501568</v>
      </c>
      <c r="N77" s="169">
        <f>H77*LookupData!$AN$10</f>
        <v>39.046441069491308</v>
      </c>
      <c r="O77" s="171"/>
      <c r="P77" s="169">
        <f>(M77+N77*0.75)*LookupData!AN$7</f>
        <v>14.098978395578632</v>
      </c>
      <c r="Q77" s="172">
        <f t="shared" si="3"/>
        <v>151.76014041713415</v>
      </c>
      <c r="R77" s="156"/>
      <c r="S77" s="86"/>
      <c r="T77" s="86"/>
      <c r="U77" s="157">
        <f t="shared" ref="U77:U85" si="12">ROUNDUP(M77/K77,2)</f>
        <v>0.76</v>
      </c>
      <c r="V77" s="86"/>
      <c r="W77" s="86"/>
      <c r="X77" s="86"/>
    </row>
    <row r="78" spans="1:24">
      <c r="A78" s="152"/>
      <c r="B78" s="173"/>
      <c r="C78" s="174" t="s">
        <v>200</v>
      </c>
      <c r="D78" s="176">
        <v>116.4</v>
      </c>
      <c r="E78" s="176">
        <v>52.9</v>
      </c>
      <c r="F78" s="175"/>
      <c r="G78" s="176">
        <f>(D78-LookupData!$AM$4*E78)/(LookupData!$AM$2-LookupData!$AM$4)</f>
        <v>34.774285714285718</v>
      </c>
      <c r="H78" s="176">
        <f t="shared" si="11"/>
        <v>18.125714285714281</v>
      </c>
      <c r="I78" s="175"/>
      <c r="J78" s="176">
        <f>D78*LookupData!$AN$10</f>
        <v>367.20960507180882</v>
      </c>
      <c r="K78" s="176">
        <f>E78*LookupData!$AN$10</f>
        <v>166.88477756270348</v>
      </c>
      <c r="L78" s="178"/>
      <c r="M78" s="176">
        <f>G78*LookupData!$AN$10</f>
        <v>109.70319350341153</v>
      </c>
      <c r="N78" s="176">
        <f>H78*LookupData!$AN$10</f>
        <v>57.181584059291964</v>
      </c>
      <c r="O78" s="178"/>
      <c r="P78" s="176">
        <f>(M78+N78*0.75)*LookupData!AN$7</f>
        <v>14.176017417518004</v>
      </c>
      <c r="Q78" s="179">
        <f t="shared" si="3"/>
        <v>152.58938154788049</v>
      </c>
      <c r="R78" s="156"/>
      <c r="S78" s="86"/>
      <c r="T78" s="86"/>
      <c r="U78" s="157">
        <f t="shared" si="12"/>
        <v>0.66</v>
      </c>
      <c r="V78" s="86"/>
      <c r="W78" s="86"/>
      <c r="X78" s="86"/>
    </row>
    <row r="79" spans="1:24">
      <c r="A79" s="152"/>
      <c r="B79" s="180"/>
      <c r="C79" s="181" t="s">
        <v>201</v>
      </c>
      <c r="D79" s="183">
        <v>145.80000000000001</v>
      </c>
      <c r="E79" s="183">
        <v>64.5</v>
      </c>
      <c r="F79" s="182"/>
      <c r="G79" s="183">
        <f>(D79-LookupData!$AM$4*E79)/(LookupData!$AM$2-LookupData!$AM$4)</f>
        <v>44.614285714285721</v>
      </c>
      <c r="H79" s="183">
        <f t="shared" si="11"/>
        <v>19.885714285714279</v>
      </c>
      <c r="I79" s="182"/>
      <c r="J79" s="183">
        <f>D79*LookupData!$AN$10</f>
        <v>459.95842284767809</v>
      </c>
      <c r="K79" s="183">
        <f>E79*LookupData!$AN$10</f>
        <v>203.4795492021621</v>
      </c>
      <c r="L79" s="184"/>
      <c r="M79" s="183">
        <f>G79*LookupData!$AN$10</f>
        <v>140.74565496309023</v>
      </c>
      <c r="N79" s="183">
        <f>H79*LookupData!$AN$10</f>
        <v>62.73389423907188</v>
      </c>
      <c r="O79" s="184"/>
      <c r="P79" s="183">
        <f>(M79+N79*0.75)*LookupData!AN$7</f>
        <v>17.44682632724837</v>
      </c>
      <c r="Q79" s="185">
        <f t="shared" si="3"/>
        <v>187.79607564239416</v>
      </c>
      <c r="R79" s="156"/>
      <c r="S79" s="86"/>
      <c r="T79" s="86"/>
      <c r="U79" s="157">
        <f t="shared" si="12"/>
        <v>0.7</v>
      </c>
      <c r="V79" s="86"/>
      <c r="W79" s="86"/>
      <c r="X79" s="86"/>
    </row>
    <row r="80" spans="1:24">
      <c r="A80" s="152"/>
      <c r="B80" s="166" t="s">
        <v>202</v>
      </c>
      <c r="C80" s="167" t="s">
        <v>203</v>
      </c>
      <c r="D80" s="169">
        <v>211.4</v>
      </c>
      <c r="E80" s="169">
        <v>101.2</v>
      </c>
      <c r="F80" s="168"/>
      <c r="G80" s="169">
        <f>(D80-LookupData!$AM$4*E80)/(LookupData!$AM$2-LookupData!$AM$4)</f>
        <v>60.080000000000005</v>
      </c>
      <c r="H80" s="169">
        <f t="shared" ref="H80:H88" si="13">E80-G80</f>
        <v>41.12</v>
      </c>
      <c r="I80" s="168"/>
      <c r="J80" s="169">
        <f>D80*LookupData!$AN$10</f>
        <v>666.90816591220266</v>
      </c>
      <c r="K80" s="169">
        <f>E80*LookupData!$AN$10</f>
        <v>319.2578353373458</v>
      </c>
      <c r="L80" s="171"/>
      <c r="M80" s="169">
        <f>G80*LookupData!$AN$10</f>
        <v>189.53567931885115</v>
      </c>
      <c r="N80" s="169">
        <f>H80*LookupData!$AN$10</f>
        <v>129.72215601849464</v>
      </c>
      <c r="O80" s="171"/>
      <c r="P80" s="169">
        <f>(M80+N80*0.75)*LookupData!AN$7</f>
        <v>26.647127784290742</v>
      </c>
      <c r="Q80" s="172">
        <f t="shared" si="3"/>
        <v>286.82729633272214</v>
      </c>
      <c r="R80" s="156"/>
      <c r="S80" s="86"/>
      <c r="T80" s="86"/>
      <c r="U80" s="157">
        <f t="shared" si="12"/>
        <v>0.6</v>
      </c>
      <c r="V80" s="86"/>
      <c r="W80" s="86"/>
      <c r="X80" s="86"/>
    </row>
    <row r="81" spans="1:24">
      <c r="A81" s="152"/>
      <c r="B81" s="173"/>
      <c r="C81" s="174" t="s">
        <v>204</v>
      </c>
      <c r="D81" s="176">
        <v>124.9</v>
      </c>
      <c r="E81" s="176">
        <v>63.5</v>
      </c>
      <c r="F81" s="175"/>
      <c r="G81" s="176">
        <f>(D81-LookupData!$AM$4*E81)/(LookupData!$AM$2-LookupData!$AM$4)</f>
        <v>33.271428571428579</v>
      </c>
      <c r="H81" s="176">
        <f t="shared" si="13"/>
        <v>30.228571428571421</v>
      </c>
      <c r="I81" s="175"/>
      <c r="J81" s="176">
        <f>D81*LookupData!$AN$10</f>
        <v>394.02473946279144</v>
      </c>
      <c r="K81" s="176">
        <f>E81*LookupData!$AN$10</f>
        <v>200.32482750910532</v>
      </c>
      <c r="L81" s="178"/>
      <c r="M81" s="176">
        <f>G81*LookupData!$AN$10</f>
        <v>104.96209747327478</v>
      </c>
      <c r="N81" s="176">
        <f>H81*LookupData!$AN$10</f>
        <v>95.362730035830538</v>
      </c>
      <c r="O81" s="178"/>
      <c r="P81" s="176">
        <f>(M81+N81*0.75)*LookupData!AN$7</f>
        <v>16.39591358231452</v>
      </c>
      <c r="Q81" s="179">
        <f t="shared" si="3"/>
        <v>176.48414500014769</v>
      </c>
      <c r="R81" s="156"/>
      <c r="S81" s="86"/>
      <c r="T81" s="86"/>
      <c r="U81" s="157">
        <f t="shared" si="12"/>
        <v>0.53</v>
      </c>
      <c r="V81" s="86"/>
      <c r="W81" s="86"/>
      <c r="X81" s="86"/>
    </row>
    <row r="82" spans="1:24">
      <c r="A82" s="152"/>
      <c r="B82" s="173"/>
      <c r="C82" s="174" t="s">
        <v>205</v>
      </c>
      <c r="D82" s="176">
        <v>143.6</v>
      </c>
      <c r="E82" s="176">
        <v>71.599999999999994</v>
      </c>
      <c r="F82" s="175"/>
      <c r="G82" s="176">
        <f>(D82-LookupData!$AM$4*E82)/(LookupData!$AM$2-LookupData!$AM$4)</f>
        <v>39.097142857142863</v>
      </c>
      <c r="H82" s="176">
        <f t="shared" si="13"/>
        <v>32.502857142857131</v>
      </c>
      <c r="I82" s="175"/>
      <c r="J82" s="176">
        <f>D82*LookupData!$AN$10</f>
        <v>453.01803512295311</v>
      </c>
      <c r="K82" s="176">
        <f>E82*LookupData!$AN$10</f>
        <v>225.8780732228652</v>
      </c>
      <c r="L82" s="178"/>
      <c r="M82" s="176">
        <f>G82*LookupData!$AN$10</f>
        <v>123.3406047079684</v>
      </c>
      <c r="N82" s="176">
        <f>H82*LookupData!$AN$10</f>
        <v>102.5374685148968</v>
      </c>
      <c r="O82" s="178"/>
      <c r="P82" s="176">
        <f>(M82+N82*0.75)*LookupData!AN$7</f>
        <v>18.603249037012226</v>
      </c>
      <c r="Q82" s="179">
        <f t="shared" si="3"/>
        <v>200.243706094141</v>
      </c>
      <c r="R82" s="156"/>
      <c r="S82" s="86"/>
      <c r="T82" s="86"/>
      <c r="U82" s="157">
        <f t="shared" si="12"/>
        <v>0.55000000000000004</v>
      </c>
      <c r="V82" s="86"/>
      <c r="W82" s="86"/>
      <c r="X82" s="86"/>
    </row>
    <row r="83" spans="1:24">
      <c r="A83" s="152"/>
      <c r="B83" s="173"/>
      <c r="C83" s="174" t="s">
        <v>260</v>
      </c>
      <c r="D83" s="176">
        <v>96.9</v>
      </c>
      <c r="E83" s="176">
        <v>47.9</v>
      </c>
      <c r="F83" s="175"/>
      <c r="G83" s="176">
        <f>(D83-LookupData!$AM$4*E83)/(LookupData!$AM$2-LookupData!$AM$4)</f>
        <v>26.631428571428579</v>
      </c>
      <c r="H83" s="176">
        <f t="shared" si="13"/>
        <v>21.26857142857142</v>
      </c>
      <c r="I83" s="175"/>
      <c r="J83" s="176">
        <f>D83*LookupData!$AN$10</f>
        <v>305.69253205720167</v>
      </c>
      <c r="K83" s="176">
        <f>E83*LookupData!$AN$10</f>
        <v>151.11116909741961</v>
      </c>
      <c r="L83" s="178"/>
      <c r="M83" s="176">
        <f>G83*LookupData!$AN$10</f>
        <v>84.01474543137779</v>
      </c>
      <c r="N83" s="176">
        <f>H83*LookupData!$AN$10</f>
        <v>67.096423666041815</v>
      </c>
      <c r="O83" s="178"/>
      <c r="P83" s="176">
        <f>(M83+N83*0.75)*LookupData!AN$7</f>
        <v>12.480321554178531</v>
      </c>
      <c r="Q83" s="179">
        <f t="shared" si="3"/>
        <v>134.33706318090915</v>
      </c>
      <c r="R83" s="156"/>
      <c r="S83" s="86"/>
      <c r="T83" s="86"/>
      <c r="U83" s="157">
        <f t="shared" si="12"/>
        <v>0.56000000000000005</v>
      </c>
      <c r="V83" s="86"/>
      <c r="W83" s="86"/>
      <c r="X83" s="86"/>
    </row>
    <row r="84" spans="1:24">
      <c r="A84" s="152"/>
      <c r="B84" s="173"/>
      <c r="C84" s="174" t="s">
        <v>206</v>
      </c>
      <c r="D84" s="176">
        <v>124.9</v>
      </c>
      <c r="E84" s="176">
        <v>63.5</v>
      </c>
      <c r="F84" s="175"/>
      <c r="G84" s="176">
        <f>(D84-LookupData!$AM$4*E84)/(LookupData!$AM$2-LookupData!$AM$4)</f>
        <v>33.271428571428579</v>
      </c>
      <c r="H84" s="176">
        <f t="shared" si="13"/>
        <v>30.228571428571421</v>
      </c>
      <c r="I84" s="175"/>
      <c r="J84" s="176">
        <f>D84*LookupData!$AN$10</f>
        <v>394.02473946279144</v>
      </c>
      <c r="K84" s="176">
        <f>E84*LookupData!$AN$10</f>
        <v>200.32482750910532</v>
      </c>
      <c r="L84" s="178"/>
      <c r="M84" s="176">
        <f>G84*LookupData!$AN$10</f>
        <v>104.96209747327478</v>
      </c>
      <c r="N84" s="176">
        <f>H84*LookupData!$AN$10</f>
        <v>95.362730035830538</v>
      </c>
      <c r="O84" s="178"/>
      <c r="P84" s="176">
        <f>(M84+N84*0.75)*LookupData!AN$7</f>
        <v>16.39591358231452</v>
      </c>
      <c r="Q84" s="179">
        <f t="shared" si="3"/>
        <v>176.48414500014769</v>
      </c>
      <c r="R84" s="156"/>
      <c r="S84" s="86"/>
      <c r="T84" s="86"/>
      <c r="U84" s="157">
        <f t="shared" si="12"/>
        <v>0.53</v>
      </c>
      <c r="V84" s="86"/>
      <c r="W84" s="86"/>
      <c r="X84" s="86"/>
    </row>
    <row r="85" spans="1:24">
      <c r="A85" s="152"/>
      <c r="B85" s="173"/>
      <c r="C85" s="174" t="s">
        <v>261</v>
      </c>
      <c r="D85" s="176">
        <v>156.4</v>
      </c>
      <c r="E85" s="176">
        <v>69.900000000000006</v>
      </c>
      <c r="F85" s="175"/>
      <c r="G85" s="176">
        <f>(D85-LookupData!$AM$4*E85)/(LookupData!$AM$2-LookupData!$AM$4)</f>
        <v>47.431428571428576</v>
      </c>
      <c r="H85" s="176">
        <f t="shared" si="13"/>
        <v>22.46857142857143</v>
      </c>
      <c r="I85" s="175"/>
      <c r="J85" s="176">
        <f>D85*LookupData!$AN$10</f>
        <v>493.39847279407991</v>
      </c>
      <c r="K85" s="176">
        <f>E85*LookupData!$AN$10</f>
        <v>220.51504634466872</v>
      </c>
      <c r="L85" s="178"/>
      <c r="M85" s="176">
        <f>G85*LookupData!$AN$10</f>
        <v>149.63295664695872</v>
      </c>
      <c r="N85" s="176">
        <f>H85*LookupData!$AN$10</f>
        <v>70.882089697709986</v>
      </c>
      <c r="O85" s="178"/>
      <c r="P85" s="176">
        <f>(M85+N85*0.75)*LookupData!AN$7</f>
        <v>18.840227767543126</v>
      </c>
      <c r="Q85" s="179">
        <f t="shared" si="3"/>
        <v>202.7945239202412</v>
      </c>
      <c r="R85" s="156"/>
      <c r="S85" s="86"/>
      <c r="T85" s="86"/>
      <c r="U85" s="157">
        <f t="shared" si="12"/>
        <v>0.68</v>
      </c>
      <c r="V85" s="86"/>
      <c r="W85" s="86"/>
      <c r="X85" s="86"/>
    </row>
    <row r="86" spans="1:24">
      <c r="A86" s="152"/>
      <c r="B86" s="173"/>
      <c r="C86" s="174" t="s">
        <v>249</v>
      </c>
      <c r="D86" s="176">
        <v>109.6</v>
      </c>
      <c r="E86" s="176">
        <v>56.1</v>
      </c>
      <c r="F86" s="175"/>
      <c r="G86" s="176">
        <f>(D86-LookupData!$AM$4*E86)/(LookupData!$AM$2-LookupData!$AM$4)</f>
        <v>28.96857142857143</v>
      </c>
      <c r="H86" s="176">
        <f t="shared" si="13"/>
        <v>27.131428571428572</v>
      </c>
      <c r="I86" s="175"/>
      <c r="J86" s="176">
        <f>D86*LookupData!$AN$10</f>
        <v>345.75749755902274</v>
      </c>
      <c r="K86" s="176">
        <f>E86*LookupData!$AN$10</f>
        <v>176.97988698048519</v>
      </c>
      <c r="L86" s="178"/>
      <c r="M86" s="176">
        <f>G86*LookupData!$AN$10</f>
        <v>91.387780702579036</v>
      </c>
      <c r="N86" s="176">
        <f>H86*LookupData!$AN$10</f>
        <v>85.592106277906154</v>
      </c>
      <c r="O86" s="178"/>
      <c r="P86" s="176">
        <f>(M86+N86*0.75)*LookupData!AN$7</f>
        <v>14.454027801038354</v>
      </c>
      <c r="Q86" s="179">
        <f t="shared" ref="Q86:Q110" si="14">(M86+N86*0.75)</f>
        <v>155.58186041100865</v>
      </c>
      <c r="R86" s="156"/>
      <c r="S86" s="86"/>
      <c r="T86" s="86"/>
      <c r="U86" s="157">
        <f t="shared" ref="U86:U110" si="15">ROUNDUP(M86/K86,2)</f>
        <v>0.52</v>
      </c>
      <c r="V86" s="86"/>
      <c r="W86" s="86"/>
      <c r="X86" s="86"/>
    </row>
    <row r="87" spans="1:24" ht="30">
      <c r="A87" s="152"/>
      <c r="B87" s="173"/>
      <c r="C87" s="174" t="s">
        <v>262</v>
      </c>
      <c r="D87" s="176">
        <v>112</v>
      </c>
      <c r="E87" s="176">
        <v>56.2</v>
      </c>
      <c r="F87" s="175"/>
      <c r="G87" s="176">
        <f>(D87-LookupData!$AM$4*E87)/(LookupData!$AM$2-LookupData!$AM$4)</f>
        <v>30.28</v>
      </c>
      <c r="H87" s="176">
        <f t="shared" si="13"/>
        <v>25.92</v>
      </c>
      <c r="I87" s="175"/>
      <c r="J87" s="176">
        <f>D87*LookupData!$AN$10</f>
        <v>353.32882962235897</v>
      </c>
      <c r="K87" s="176">
        <f>E87*LookupData!$AN$10</f>
        <v>177.29535914979087</v>
      </c>
      <c r="L87" s="178"/>
      <c r="M87" s="176">
        <f>G87*LookupData!$AN$10</f>
        <v>95.52497286575921</v>
      </c>
      <c r="N87" s="176">
        <f>H87*LookupData!$AN$10</f>
        <v>81.770386284031659</v>
      </c>
      <c r="O87" s="178"/>
      <c r="P87" s="176">
        <f>(M87+N87*0.75)*LookupData!AN$7</f>
        <v>14.572098475967179</v>
      </c>
      <c r="Q87" s="179">
        <f t="shared" si="14"/>
        <v>156.85276257878297</v>
      </c>
      <c r="R87" s="156"/>
      <c r="S87" s="86"/>
      <c r="T87" s="86"/>
      <c r="U87" s="157">
        <f t="shared" si="15"/>
        <v>0.54</v>
      </c>
      <c r="V87" s="86"/>
      <c r="W87" s="86"/>
      <c r="X87" s="86"/>
    </row>
    <row r="88" spans="1:24">
      <c r="A88" s="152"/>
      <c r="B88" s="180"/>
      <c r="C88" s="181" t="s">
        <v>207</v>
      </c>
      <c r="D88" s="183">
        <v>89.3</v>
      </c>
      <c r="E88" s="183">
        <v>40.1</v>
      </c>
      <c r="F88" s="182"/>
      <c r="G88" s="183">
        <f>(D88-LookupData!$AM$4*E88)/(LookupData!$AM$2-LookupData!$AM$4)</f>
        <v>26.96857142857143</v>
      </c>
      <c r="H88" s="183">
        <f t="shared" si="13"/>
        <v>13.131428571428572</v>
      </c>
      <c r="I88" s="182"/>
      <c r="J88" s="183">
        <f>D88*LookupData!$AN$10</f>
        <v>281.71664718997016</v>
      </c>
      <c r="K88" s="183">
        <f>E88*LookupData!$AN$10</f>
        <v>126.50433989157675</v>
      </c>
      <c r="L88" s="184"/>
      <c r="M88" s="183">
        <f>G88*LookupData!$AN$10</f>
        <v>85.078337316465479</v>
      </c>
      <c r="N88" s="183">
        <f>H88*LookupData!$AN$10</f>
        <v>41.426002575111276</v>
      </c>
      <c r="O88" s="184"/>
      <c r="P88" s="183">
        <f>(M88+N88*0.75)*LookupData!AN$7</f>
        <v>10.790487355551836</v>
      </c>
      <c r="Q88" s="185">
        <f t="shared" si="14"/>
        <v>116.14783924779894</v>
      </c>
      <c r="R88" s="156"/>
      <c r="S88" s="86"/>
      <c r="T88" s="86"/>
      <c r="U88" s="157">
        <f t="shared" si="15"/>
        <v>0.68</v>
      </c>
      <c r="V88" s="86"/>
      <c r="W88" s="86"/>
      <c r="X88" s="86"/>
    </row>
    <row r="89" spans="1:24">
      <c r="A89" s="152"/>
      <c r="B89" s="206" t="s">
        <v>208</v>
      </c>
      <c r="C89" s="207" t="s">
        <v>209</v>
      </c>
      <c r="D89" s="208">
        <v>58.4</v>
      </c>
      <c r="E89" s="208">
        <v>30.5</v>
      </c>
      <c r="F89" s="209"/>
      <c r="G89" s="208">
        <f>(D89-LookupData!$AM$4*E89)/(LookupData!$AM$2-LookupData!$AM$4)</f>
        <v>15.071428571428573</v>
      </c>
      <c r="H89" s="208">
        <f t="shared" ref="H89" si="16">E89-G89</f>
        <v>15.428571428571427</v>
      </c>
      <c r="I89" s="209"/>
      <c r="J89" s="208">
        <f>D89*LookupData!$AN$10</f>
        <v>184.23574687451577</v>
      </c>
      <c r="K89" s="208">
        <f>E89*LookupData!$AN$10</f>
        <v>96.219011638231692</v>
      </c>
      <c r="L89" s="210"/>
      <c r="M89" s="208">
        <f>G89*LookupData!$AN$10</f>
        <v>47.546162659641425</v>
      </c>
      <c r="N89" s="208">
        <f>H89*LookupData!$AN$10</f>
        <v>48.672848978590267</v>
      </c>
      <c r="O89" s="210"/>
      <c r="P89" s="208">
        <f>(M89+N89*0.75)*LookupData!AN$7</f>
        <v>7.8085747780941226</v>
      </c>
      <c r="Q89" s="211">
        <f t="shared" si="14"/>
        <v>84.050799393584128</v>
      </c>
      <c r="R89" s="156"/>
      <c r="S89" s="86"/>
      <c r="T89" s="86"/>
      <c r="U89" s="157">
        <f t="shared" si="15"/>
        <v>0.5</v>
      </c>
      <c r="V89" s="86"/>
      <c r="W89" s="86"/>
      <c r="X89" s="86"/>
    </row>
    <row r="90" spans="1:24">
      <c r="A90" s="152"/>
      <c r="B90" s="166" t="s">
        <v>210</v>
      </c>
      <c r="C90" s="167" t="s">
        <v>211</v>
      </c>
      <c r="D90" s="169">
        <v>124.1</v>
      </c>
      <c r="E90" s="169">
        <v>55</v>
      </c>
      <c r="F90" s="168"/>
      <c r="G90" s="169">
        <f>(D90-LookupData!$AM$4*E90)/(LookupData!$AM$2-LookupData!$AM$4)</f>
        <v>37.914285714285718</v>
      </c>
      <c r="H90" s="169">
        <f t="shared" ref="H90:H103" si="17">E90-G90</f>
        <v>17.085714285714282</v>
      </c>
      <c r="I90" s="168"/>
      <c r="J90" s="169">
        <f>D90*LookupData!$AN$10</f>
        <v>391.50096210834596</v>
      </c>
      <c r="K90" s="169">
        <f>E90*LookupData!$AN$10</f>
        <v>173.50969311812273</v>
      </c>
      <c r="L90" s="171"/>
      <c r="M90" s="169">
        <f>G90*LookupData!$AN$10</f>
        <v>119.60901961960981</v>
      </c>
      <c r="N90" s="169">
        <f>H90*LookupData!$AN$10</f>
        <v>53.900673498512916</v>
      </c>
      <c r="O90" s="171"/>
      <c r="P90" s="169">
        <f>(M90+N90*0.75)*LookupData!AN$7</f>
        <v>14.867693853625861</v>
      </c>
      <c r="Q90" s="172">
        <f t="shared" si="14"/>
        <v>160.0345247434945</v>
      </c>
      <c r="R90" s="156"/>
      <c r="S90" s="86"/>
      <c r="T90" s="86"/>
      <c r="U90" s="157">
        <f t="shared" si="15"/>
        <v>0.69000000000000006</v>
      </c>
      <c r="V90" s="86"/>
      <c r="W90" s="86"/>
      <c r="X90" s="86"/>
    </row>
    <row r="91" spans="1:24">
      <c r="A91" s="152"/>
      <c r="B91" s="173"/>
      <c r="C91" s="174" t="s">
        <v>186</v>
      </c>
      <c r="D91" s="176">
        <v>592.6</v>
      </c>
      <c r="E91" s="176">
        <v>231.4</v>
      </c>
      <c r="F91" s="175"/>
      <c r="G91" s="176">
        <f>(D91-LookupData!$AM$4*E91)/(LookupData!$AM$2-LookupData!$AM$4)</f>
        <v>199.78857142857146</v>
      </c>
      <c r="H91" s="176">
        <f t="shared" si="17"/>
        <v>31.611428571428547</v>
      </c>
      <c r="I91" s="175"/>
      <c r="J91" s="176">
        <f>D91*LookupData!$AN$10</f>
        <v>1869.488075305446</v>
      </c>
      <c r="K91" s="176">
        <f>E91*LookupData!$AN$10</f>
        <v>730.00259977333815</v>
      </c>
      <c r="L91" s="178"/>
      <c r="M91" s="176">
        <f>G91*LookupData!$AN$10</f>
        <v>630.27734031053774</v>
      </c>
      <c r="N91" s="176">
        <f>H91*LookupData!$AN$10</f>
        <v>99.725259462800437</v>
      </c>
      <c r="O91" s="178"/>
      <c r="P91" s="176">
        <f>(M91+N91*0.75)*LookupData!AN$7</f>
        <v>65.503265784625697</v>
      </c>
      <c r="Q91" s="179">
        <f t="shared" si="14"/>
        <v>705.07128490763807</v>
      </c>
      <c r="R91" s="156"/>
      <c r="S91" s="86"/>
      <c r="T91" s="86"/>
      <c r="U91" s="157">
        <f t="shared" si="15"/>
        <v>0.87</v>
      </c>
      <c r="V91" s="86"/>
      <c r="W91" s="86"/>
      <c r="X91" s="86"/>
    </row>
    <row r="92" spans="1:24">
      <c r="A92" s="152"/>
      <c r="B92" s="173"/>
      <c r="C92" s="174" t="s">
        <v>212</v>
      </c>
      <c r="D92" s="176">
        <v>170.7</v>
      </c>
      <c r="E92" s="176">
        <v>65.7</v>
      </c>
      <c r="F92" s="175"/>
      <c r="G92" s="176">
        <f>(D92-LookupData!$AM$4*E92)/(LookupData!$AM$2-LookupData!$AM$4)</f>
        <v>58.122857142857143</v>
      </c>
      <c r="H92" s="176">
        <f t="shared" si="17"/>
        <v>7.5771428571428601</v>
      </c>
      <c r="I92" s="175"/>
      <c r="J92" s="176">
        <f>D92*LookupData!$AN$10</f>
        <v>538.51099300479177</v>
      </c>
      <c r="K92" s="176">
        <f>E92*LookupData!$AN$10</f>
        <v>207.26521523383025</v>
      </c>
      <c r="L92" s="178"/>
      <c r="M92" s="176">
        <f>G92*LookupData!$AN$10</f>
        <v>183.36143829101147</v>
      </c>
      <c r="N92" s="176">
        <f>H92*LookupData!$AN$10</f>
        <v>23.903776942818787</v>
      </c>
      <c r="O92" s="178"/>
      <c r="P92" s="176">
        <f>(M92+N92*0.75)*LookupData!AN$7</f>
        <v>18.7003851951097</v>
      </c>
      <c r="Q92" s="179">
        <f t="shared" si="14"/>
        <v>201.28927099812557</v>
      </c>
      <c r="R92" s="156"/>
      <c r="S92" s="86"/>
      <c r="T92" s="86"/>
      <c r="U92" s="157">
        <f t="shared" si="15"/>
        <v>0.89</v>
      </c>
      <c r="V92" s="86"/>
      <c r="W92" s="86"/>
      <c r="X92" s="86"/>
    </row>
    <row r="93" spans="1:24">
      <c r="A93" s="152"/>
      <c r="B93" s="173"/>
      <c r="C93" s="174" t="s">
        <v>213</v>
      </c>
      <c r="D93" s="176">
        <v>228.8</v>
      </c>
      <c r="E93" s="176">
        <v>103.5</v>
      </c>
      <c r="F93" s="175"/>
      <c r="G93" s="176">
        <f>(D93-LookupData!$AM$4*E93)/(LookupData!$AM$2-LookupData!$AM$4)</f>
        <v>68.642857142857153</v>
      </c>
      <c r="H93" s="176">
        <f t="shared" si="17"/>
        <v>34.857142857142847</v>
      </c>
      <c r="I93" s="175"/>
      <c r="J93" s="176">
        <f>D93*LookupData!$AN$10</f>
        <v>721.8003233713905</v>
      </c>
      <c r="K93" s="176">
        <f>E93*LookupData!$AN$10</f>
        <v>326.5136952313764</v>
      </c>
      <c r="L93" s="178"/>
      <c r="M93" s="176">
        <f>G93*LookupData!$AN$10</f>
        <v>216.54911050196878</v>
      </c>
      <c r="N93" s="176">
        <f>H93*LookupData!$AN$10</f>
        <v>109.96458472940762</v>
      </c>
      <c r="O93" s="178"/>
      <c r="P93" s="176">
        <f>(M93+N93*0.75)*LookupData!AN$7</f>
        <v>27.780103835203487</v>
      </c>
      <c r="Q93" s="179">
        <f t="shared" si="14"/>
        <v>299.02254904902452</v>
      </c>
      <c r="R93" s="156"/>
      <c r="S93" s="86"/>
      <c r="T93" s="86"/>
      <c r="U93" s="157">
        <f t="shared" si="15"/>
        <v>0.67</v>
      </c>
      <c r="V93" s="86"/>
      <c r="W93" s="86"/>
      <c r="X93" s="86"/>
    </row>
    <row r="94" spans="1:24">
      <c r="A94" s="152"/>
      <c r="B94" s="173"/>
      <c r="C94" s="174" t="s">
        <v>214</v>
      </c>
      <c r="D94" s="176">
        <v>228.8</v>
      </c>
      <c r="E94" s="176">
        <v>103.5</v>
      </c>
      <c r="F94" s="175"/>
      <c r="G94" s="176">
        <f>(D94-LookupData!$AM$4*E94)/(LookupData!$AM$2-LookupData!$AM$4)</f>
        <v>68.642857142857153</v>
      </c>
      <c r="H94" s="176">
        <f t="shared" si="17"/>
        <v>34.857142857142847</v>
      </c>
      <c r="I94" s="175"/>
      <c r="J94" s="176">
        <f>D94*LookupData!$AN$10</f>
        <v>721.8003233713905</v>
      </c>
      <c r="K94" s="176">
        <f>E94*LookupData!$AN$10</f>
        <v>326.5136952313764</v>
      </c>
      <c r="L94" s="178"/>
      <c r="M94" s="176">
        <f>G94*LookupData!$AN$10</f>
        <v>216.54911050196878</v>
      </c>
      <c r="N94" s="176">
        <f>H94*LookupData!$AN$10</f>
        <v>109.96458472940762</v>
      </c>
      <c r="O94" s="178"/>
      <c r="P94" s="176">
        <f>(M94+N94*0.75)*LookupData!AN$7</f>
        <v>27.780103835203487</v>
      </c>
      <c r="Q94" s="179">
        <f t="shared" si="14"/>
        <v>299.02254904902452</v>
      </c>
      <c r="R94" s="156"/>
      <c r="S94" s="86"/>
      <c r="T94" s="86"/>
      <c r="U94" s="157">
        <f t="shared" si="15"/>
        <v>0.67</v>
      </c>
      <c r="V94" s="86"/>
      <c r="W94" s="86"/>
      <c r="X94" s="86"/>
    </row>
    <row r="95" spans="1:24">
      <c r="A95" s="152"/>
      <c r="B95" s="173"/>
      <c r="C95" s="174" t="s">
        <v>215</v>
      </c>
      <c r="D95" s="176">
        <v>225.3</v>
      </c>
      <c r="E95" s="176">
        <v>101.6</v>
      </c>
      <c r="F95" s="175"/>
      <c r="G95" s="176">
        <f>(D95-LookupData!$AM$4*E95)/(LookupData!$AM$2-LookupData!$AM$4)</f>
        <v>67.782857142857168</v>
      </c>
      <c r="H95" s="176">
        <f t="shared" si="17"/>
        <v>33.817142857142827</v>
      </c>
      <c r="I95" s="175"/>
      <c r="J95" s="176">
        <f>D95*LookupData!$AN$10</f>
        <v>710.75879744569181</v>
      </c>
      <c r="K95" s="176">
        <f>E95*LookupData!$AN$10</f>
        <v>320.51972401456851</v>
      </c>
      <c r="L95" s="178"/>
      <c r="M95" s="176">
        <f>G95*LookupData!$AN$10</f>
        <v>213.83604984594001</v>
      </c>
      <c r="N95" s="176">
        <f>H95*LookupData!$AN$10</f>
        <v>106.6836741686285</v>
      </c>
      <c r="O95" s="178"/>
      <c r="P95" s="176">
        <f>(M95+N95*0.75)*LookupData!AN$7</f>
        <v>27.299447328755658</v>
      </c>
      <c r="Q95" s="179">
        <f t="shared" si="14"/>
        <v>293.84880547241141</v>
      </c>
      <c r="R95" s="156"/>
      <c r="S95" s="86"/>
      <c r="T95" s="86"/>
      <c r="U95" s="157">
        <f t="shared" si="15"/>
        <v>0.67</v>
      </c>
      <c r="V95" s="86"/>
      <c r="W95" s="86"/>
      <c r="X95" s="86"/>
    </row>
    <row r="96" spans="1:24">
      <c r="A96" s="152"/>
      <c r="B96" s="173"/>
      <c r="C96" s="174" t="s">
        <v>216</v>
      </c>
      <c r="D96" s="176">
        <v>120</v>
      </c>
      <c r="E96" s="176">
        <v>51.4</v>
      </c>
      <c r="F96" s="175"/>
      <c r="G96" s="176">
        <f>(D96-LookupData!$AM$4*E96)/(LookupData!$AM$2-LookupData!$AM$4)</f>
        <v>37.73142857142858</v>
      </c>
      <c r="H96" s="176">
        <f t="shared" si="17"/>
        <v>13.668571428571418</v>
      </c>
      <c r="I96" s="175"/>
      <c r="J96" s="176">
        <f>D96*LookupData!$AN$10</f>
        <v>378.5666031668132</v>
      </c>
      <c r="K96" s="176">
        <f>E96*LookupData!$AN$10</f>
        <v>162.15269502311833</v>
      </c>
      <c r="L96" s="178"/>
      <c r="M96" s="176">
        <f>G96*LookupData!$AN$10</f>
        <v>119.03215622430801</v>
      </c>
      <c r="N96" s="176">
        <f>H96*LookupData!$AN$10</f>
        <v>43.120538798810308</v>
      </c>
      <c r="O96" s="178"/>
      <c r="P96" s="176">
        <f>(M96+N96*0.75)*LookupData!AN$7</f>
        <v>14.062971026628706</v>
      </c>
      <c r="Q96" s="179">
        <f t="shared" si="14"/>
        <v>151.37256032341574</v>
      </c>
      <c r="R96" s="156"/>
      <c r="S96" s="86"/>
      <c r="T96" s="86"/>
      <c r="U96" s="157">
        <f t="shared" si="15"/>
        <v>0.74</v>
      </c>
      <c r="V96" s="86"/>
      <c r="W96" s="86"/>
      <c r="X96" s="86"/>
    </row>
    <row r="97" spans="1:24">
      <c r="A97" s="152"/>
      <c r="B97" s="173"/>
      <c r="C97" s="174" t="s">
        <v>253</v>
      </c>
      <c r="D97" s="176">
        <v>444</v>
      </c>
      <c r="E97" s="176">
        <v>196</v>
      </c>
      <c r="F97" s="175"/>
      <c r="G97" s="176">
        <f>(D97-LookupData!$AM$4*E97)/(LookupData!$AM$2-LookupData!$AM$4)</f>
        <v>136.11428571428573</v>
      </c>
      <c r="H97" s="176">
        <f t="shared" si="17"/>
        <v>59.885714285714272</v>
      </c>
      <c r="I97" s="175"/>
      <c r="J97" s="176">
        <f>D97*LookupData!$AN$10</f>
        <v>1400.696431717209</v>
      </c>
      <c r="K97" s="176">
        <f>E97*LookupData!$AN$10</f>
        <v>618.32545183912828</v>
      </c>
      <c r="L97" s="178"/>
      <c r="M97" s="176">
        <f>G97*LookupData!$AN$10</f>
        <v>429.40268987778529</v>
      </c>
      <c r="N97" s="176">
        <f>H97*LookupData!$AN$10</f>
        <v>188.92276196134293</v>
      </c>
      <c r="O97" s="178"/>
      <c r="P97" s="176">
        <f>(M97+N97*0.75)*LookupData!AN$7</f>
        <v>53.056439457377323</v>
      </c>
      <c r="Q97" s="179">
        <f t="shared" si="14"/>
        <v>571.09476134879242</v>
      </c>
      <c r="R97" s="156"/>
      <c r="S97" s="86"/>
      <c r="T97" s="86"/>
      <c r="U97" s="157">
        <f t="shared" si="15"/>
        <v>0.7</v>
      </c>
      <c r="V97" s="86"/>
      <c r="W97" s="86"/>
      <c r="X97" s="86"/>
    </row>
    <row r="98" spans="1:24" ht="13.5" customHeight="1">
      <c r="A98" s="152"/>
      <c r="B98" s="180"/>
      <c r="C98" s="181" t="s">
        <v>254</v>
      </c>
      <c r="D98" s="183">
        <v>120</v>
      </c>
      <c r="E98" s="183">
        <v>51.4</v>
      </c>
      <c r="F98" s="182"/>
      <c r="G98" s="183">
        <f>(D98-LookupData!$AM$4*E98)/(LookupData!$AM$2-LookupData!$AM$4)</f>
        <v>37.73142857142858</v>
      </c>
      <c r="H98" s="183">
        <f t="shared" si="17"/>
        <v>13.668571428571418</v>
      </c>
      <c r="I98" s="182"/>
      <c r="J98" s="183">
        <f>D98*LookupData!$AN$10</f>
        <v>378.5666031668132</v>
      </c>
      <c r="K98" s="183">
        <f>E98*LookupData!$AN$10</f>
        <v>162.15269502311833</v>
      </c>
      <c r="L98" s="184"/>
      <c r="M98" s="183">
        <f>G98*LookupData!$AN$10</f>
        <v>119.03215622430801</v>
      </c>
      <c r="N98" s="183">
        <f>H98*LookupData!$AN$10</f>
        <v>43.120538798810308</v>
      </c>
      <c r="O98" s="184"/>
      <c r="P98" s="183">
        <f>(M98+N98*0.75)*LookupData!AN$7</f>
        <v>14.062971026628706</v>
      </c>
      <c r="Q98" s="185">
        <f t="shared" si="14"/>
        <v>151.37256032341574</v>
      </c>
      <c r="R98" s="156"/>
      <c r="S98" s="86"/>
      <c r="T98" s="86"/>
      <c r="U98" s="157">
        <f t="shared" si="15"/>
        <v>0.74</v>
      </c>
      <c r="V98" s="86"/>
      <c r="W98" s="86"/>
      <c r="X98" s="86"/>
    </row>
    <row r="99" spans="1:24">
      <c r="A99" s="152"/>
      <c r="B99" s="166" t="s">
        <v>217</v>
      </c>
      <c r="C99" s="174" t="s">
        <v>218</v>
      </c>
      <c r="D99" s="176">
        <v>318.2</v>
      </c>
      <c r="E99" s="176">
        <v>115.3</v>
      </c>
      <c r="F99" s="175"/>
      <c r="G99" s="176">
        <f>(D99-LookupData!$AM$4*E99)/(LookupData!$AM$2-LookupData!$AM$4)</f>
        <v>112.64857142857144</v>
      </c>
      <c r="H99" s="176">
        <f t="shared" si="17"/>
        <v>2.6514285714285535</v>
      </c>
      <c r="I99" s="175"/>
      <c r="J99" s="176">
        <f>D99*LookupData!$AN$10</f>
        <v>1003.8324427306663</v>
      </c>
      <c r="K99" s="176">
        <f>E99*LookupData!$AN$10</f>
        <v>363.73941120944636</v>
      </c>
      <c r="L99" s="178"/>
      <c r="M99" s="176">
        <f>G99*LookupData!$AN$10</f>
        <v>355.37489197757014</v>
      </c>
      <c r="N99" s="176">
        <f>H99*LookupData!$AN$10</f>
        <v>8.3645192318761978</v>
      </c>
      <c r="O99" s="178"/>
      <c r="P99" s="176">
        <f>(M99+N99*0.75)*LookupData!AN$7</f>
        <v>33.598224752972705</v>
      </c>
      <c r="Q99" s="179">
        <f t="shared" ref="Q99:Q103" si="18">(M99+N99*0.75)</f>
        <v>361.64828140147728</v>
      </c>
      <c r="R99" s="156"/>
      <c r="S99" s="86"/>
      <c r="T99" s="86"/>
      <c r="U99" s="157"/>
      <c r="V99" s="86"/>
      <c r="W99" s="86"/>
      <c r="X99" s="86"/>
    </row>
    <row r="100" spans="1:24">
      <c r="A100" s="152"/>
      <c r="B100" s="173"/>
      <c r="C100" s="181" t="s">
        <v>219</v>
      </c>
      <c r="D100" s="183">
        <v>89.3</v>
      </c>
      <c r="E100" s="183">
        <v>40.1</v>
      </c>
      <c r="F100" s="182"/>
      <c r="G100" s="183">
        <f>(D100-LookupData!$AM$4*E100)/(LookupData!$AM$2-LookupData!$AM$4)</f>
        <v>26.96857142857143</v>
      </c>
      <c r="H100" s="183">
        <f t="shared" si="17"/>
        <v>13.131428571428572</v>
      </c>
      <c r="I100" s="182"/>
      <c r="J100" s="183">
        <f>D100*LookupData!$AN$10</f>
        <v>281.71664718997016</v>
      </c>
      <c r="K100" s="183">
        <f>E100*LookupData!$AN$10</f>
        <v>126.50433989157675</v>
      </c>
      <c r="L100" s="184"/>
      <c r="M100" s="183">
        <f>G100*LookupData!$AN$10</f>
        <v>85.078337316465479</v>
      </c>
      <c r="N100" s="183">
        <f>H100*LookupData!$AN$10</f>
        <v>41.426002575111276</v>
      </c>
      <c r="O100" s="184"/>
      <c r="P100" s="183">
        <f>(M100+N100*0.75)*LookupData!AN$7</f>
        <v>10.790487355551836</v>
      </c>
      <c r="Q100" s="185">
        <f t="shared" si="18"/>
        <v>116.14783924779894</v>
      </c>
      <c r="R100" s="156"/>
      <c r="S100" s="86"/>
      <c r="T100" s="86"/>
      <c r="U100" s="157">
        <f t="shared" si="15"/>
        <v>0.68</v>
      </c>
      <c r="V100" s="86"/>
      <c r="W100" s="86"/>
      <c r="X100" s="86"/>
    </row>
    <row r="101" spans="1:24" ht="45">
      <c r="A101" s="152"/>
      <c r="B101" s="166" t="s">
        <v>220</v>
      </c>
      <c r="C101" s="174" t="s">
        <v>245</v>
      </c>
      <c r="D101" s="176">
        <v>96.9</v>
      </c>
      <c r="E101" s="176">
        <v>47.9</v>
      </c>
      <c r="F101" s="175"/>
      <c r="G101" s="176">
        <f>(D101-LookupData!$AM$4*E101)/(LookupData!$AM$2-LookupData!$AM$4)</f>
        <v>26.631428571428579</v>
      </c>
      <c r="H101" s="176">
        <f t="shared" si="17"/>
        <v>21.26857142857142</v>
      </c>
      <c r="I101" s="175"/>
      <c r="J101" s="176">
        <f>D101*LookupData!$AN$10</f>
        <v>305.69253205720167</v>
      </c>
      <c r="K101" s="176">
        <f>E101*LookupData!$AN$10</f>
        <v>151.11116909741961</v>
      </c>
      <c r="L101" s="178"/>
      <c r="M101" s="176">
        <f>G101*LookupData!$AN$10</f>
        <v>84.01474543137779</v>
      </c>
      <c r="N101" s="176">
        <f>H101*LookupData!$AN$10</f>
        <v>67.096423666041815</v>
      </c>
      <c r="O101" s="178"/>
      <c r="P101" s="176">
        <f>(M101+N101*0.75)*LookupData!AN$7</f>
        <v>12.480321554178531</v>
      </c>
      <c r="Q101" s="179">
        <f t="shared" si="18"/>
        <v>134.33706318090915</v>
      </c>
      <c r="R101" s="156"/>
      <c r="S101" s="86"/>
      <c r="T101" s="86"/>
      <c r="U101" s="157"/>
      <c r="V101" s="86"/>
      <c r="W101" s="86"/>
      <c r="X101" s="86"/>
    </row>
    <row r="102" spans="1:24" ht="30">
      <c r="A102" s="152"/>
      <c r="B102" s="173"/>
      <c r="C102" s="174" t="s">
        <v>246</v>
      </c>
      <c r="D102" s="176">
        <v>96.9</v>
      </c>
      <c r="E102" s="176">
        <v>47.9</v>
      </c>
      <c r="F102" s="175"/>
      <c r="G102" s="176">
        <f>(D102-LookupData!$AM$4*E102)/(LookupData!$AM$2-LookupData!$AM$4)</f>
        <v>26.631428571428579</v>
      </c>
      <c r="H102" s="176">
        <f t="shared" si="17"/>
        <v>21.26857142857142</v>
      </c>
      <c r="I102" s="175"/>
      <c r="J102" s="176">
        <f>D102*LookupData!$AN$10</f>
        <v>305.69253205720167</v>
      </c>
      <c r="K102" s="176">
        <f>E102*LookupData!$AN$10</f>
        <v>151.11116909741961</v>
      </c>
      <c r="L102" s="178"/>
      <c r="M102" s="176">
        <f>G102*LookupData!$AN$10</f>
        <v>84.01474543137779</v>
      </c>
      <c r="N102" s="176">
        <f>H102*LookupData!$AN$10</f>
        <v>67.096423666041815</v>
      </c>
      <c r="O102" s="178"/>
      <c r="P102" s="176">
        <f>(M102+N102*0.75)*LookupData!AN$7</f>
        <v>12.480321554178531</v>
      </c>
      <c r="Q102" s="179">
        <f t="shared" si="18"/>
        <v>134.33706318090915</v>
      </c>
      <c r="R102" s="156"/>
      <c r="S102" s="86"/>
      <c r="T102" s="86"/>
      <c r="U102" s="157">
        <f t="shared" si="15"/>
        <v>0.56000000000000005</v>
      </c>
      <c r="V102" s="86"/>
      <c r="W102" s="86"/>
      <c r="X102" s="86"/>
    </row>
    <row r="103" spans="1:24">
      <c r="A103" s="152"/>
      <c r="B103" s="173"/>
      <c r="C103" s="181" t="s">
        <v>221</v>
      </c>
      <c r="D103" s="183">
        <v>96.9</v>
      </c>
      <c r="E103" s="183">
        <v>47.9</v>
      </c>
      <c r="F103" s="182"/>
      <c r="G103" s="183">
        <f>(D103-LookupData!$AM$4*E103)/(LookupData!$AM$2-LookupData!$AM$4)</f>
        <v>26.631428571428579</v>
      </c>
      <c r="H103" s="183">
        <f t="shared" si="17"/>
        <v>21.26857142857142</v>
      </c>
      <c r="I103" s="182"/>
      <c r="J103" s="183">
        <f>D103*LookupData!$AN$10</f>
        <v>305.69253205720167</v>
      </c>
      <c r="K103" s="183">
        <f>E103*LookupData!$AN$10</f>
        <v>151.11116909741961</v>
      </c>
      <c r="L103" s="184"/>
      <c r="M103" s="183">
        <f>G103*LookupData!$AN$10</f>
        <v>84.01474543137779</v>
      </c>
      <c r="N103" s="183">
        <f>H103*LookupData!$AN$10</f>
        <v>67.096423666041815</v>
      </c>
      <c r="O103" s="184"/>
      <c r="P103" s="183">
        <f>(M103+N103*0.75)*LookupData!AN$7</f>
        <v>12.480321554178531</v>
      </c>
      <c r="Q103" s="185">
        <f t="shared" si="18"/>
        <v>134.33706318090915</v>
      </c>
      <c r="R103" s="156"/>
      <c r="S103" s="86"/>
      <c r="T103" s="86"/>
      <c r="U103" s="157">
        <f t="shared" si="15"/>
        <v>0.56000000000000005</v>
      </c>
      <c r="V103" s="86"/>
      <c r="W103" s="86"/>
      <c r="X103" s="86"/>
    </row>
    <row r="104" spans="1:24">
      <c r="A104" s="152"/>
      <c r="B104" s="166" t="s">
        <v>222</v>
      </c>
      <c r="C104" s="167" t="s">
        <v>263</v>
      </c>
      <c r="D104" s="169">
        <v>89.3</v>
      </c>
      <c r="E104" s="169">
        <v>40.1</v>
      </c>
      <c r="F104" s="168"/>
      <c r="G104" s="169">
        <f>(D104-LookupData!$AM$4*E104)/(LookupData!$AM$2-LookupData!$AM$4)</f>
        <v>26.96857142857143</v>
      </c>
      <c r="H104" s="169">
        <f t="shared" ref="H104:H105" si="19">E104-G104</f>
        <v>13.131428571428572</v>
      </c>
      <c r="I104" s="168"/>
      <c r="J104" s="169">
        <f>D104*LookupData!$AN$10</f>
        <v>281.71664718997016</v>
      </c>
      <c r="K104" s="169">
        <f>E104*LookupData!$AN$10</f>
        <v>126.50433989157675</v>
      </c>
      <c r="L104" s="171"/>
      <c r="M104" s="169">
        <f>G104*LookupData!$AN$10</f>
        <v>85.078337316465479</v>
      </c>
      <c r="N104" s="169">
        <f>H104*LookupData!$AN$10</f>
        <v>41.426002575111276</v>
      </c>
      <c r="O104" s="171"/>
      <c r="P104" s="169">
        <f>(M104+N104*0.75)*LookupData!AN$7</f>
        <v>10.790487355551836</v>
      </c>
      <c r="Q104" s="172">
        <f t="shared" si="14"/>
        <v>116.14783924779894</v>
      </c>
      <c r="R104" s="156"/>
      <c r="S104" s="86"/>
      <c r="T104" s="86"/>
      <c r="U104" s="157">
        <f t="shared" si="15"/>
        <v>0.68</v>
      </c>
      <c r="V104" s="86"/>
      <c r="W104" s="86"/>
      <c r="X104" s="86"/>
    </row>
    <row r="105" spans="1:24">
      <c r="A105" s="152"/>
      <c r="B105" s="180"/>
      <c r="C105" s="181" t="s">
        <v>223</v>
      </c>
      <c r="D105" s="183">
        <v>89.3</v>
      </c>
      <c r="E105" s="183">
        <v>40.1</v>
      </c>
      <c r="F105" s="182"/>
      <c r="G105" s="183">
        <f>(D105-LookupData!$AM$4*E105)/(LookupData!$AM$2-LookupData!$AM$4)</f>
        <v>26.96857142857143</v>
      </c>
      <c r="H105" s="183">
        <f t="shared" si="19"/>
        <v>13.131428571428572</v>
      </c>
      <c r="I105" s="182"/>
      <c r="J105" s="183">
        <f>D105*LookupData!$AN$10</f>
        <v>281.71664718997016</v>
      </c>
      <c r="K105" s="183">
        <f>E105*LookupData!$AN$10</f>
        <v>126.50433989157675</v>
      </c>
      <c r="L105" s="184"/>
      <c r="M105" s="183">
        <f>G105*LookupData!$AN$10</f>
        <v>85.078337316465479</v>
      </c>
      <c r="N105" s="183">
        <f>H105*LookupData!$AN$10</f>
        <v>41.426002575111276</v>
      </c>
      <c r="O105" s="184"/>
      <c r="P105" s="183">
        <f>(M105+N105*0.75)*LookupData!AN$7</f>
        <v>10.790487355551836</v>
      </c>
      <c r="Q105" s="185">
        <f t="shared" si="14"/>
        <v>116.14783924779894</v>
      </c>
      <c r="R105" s="156"/>
      <c r="S105" s="86"/>
      <c r="T105" s="86"/>
      <c r="U105" s="157">
        <f t="shared" si="15"/>
        <v>0.68</v>
      </c>
      <c r="V105" s="86"/>
      <c r="W105" s="86"/>
      <c r="X105" s="86"/>
    </row>
    <row r="106" spans="1:24">
      <c r="A106" s="152"/>
      <c r="B106" s="166" t="s">
        <v>224</v>
      </c>
      <c r="C106" s="167" t="s">
        <v>225</v>
      </c>
      <c r="D106" s="169">
        <v>47.8</v>
      </c>
      <c r="E106" s="169">
        <v>20.2</v>
      </c>
      <c r="F106" s="168"/>
      <c r="G106" s="169">
        <f>(D106-LookupData!$AM$4*E106)/(LookupData!$AM$2-LookupData!$AM$4)</f>
        <v>15.194285714285714</v>
      </c>
      <c r="H106" s="169">
        <f t="shared" ref="H106:H109" si="20">E106-G106</f>
        <v>5.0057142857142853</v>
      </c>
      <c r="I106" s="168"/>
      <c r="J106" s="169">
        <f>D106*LookupData!$AN$10</f>
        <v>150.79569692811393</v>
      </c>
      <c r="K106" s="169">
        <f>E106*LookupData!$AN$10</f>
        <v>63.725378199746885</v>
      </c>
      <c r="L106" s="171"/>
      <c r="M106" s="169">
        <f>G106*LookupData!$AN$10</f>
        <v>47.933742753359823</v>
      </c>
      <c r="N106" s="169">
        <f>H106*LookupData!$AN$10</f>
        <v>15.791635446387064</v>
      </c>
      <c r="O106" s="171"/>
      <c r="P106" s="169">
        <f>(M106+N106*0.75)*LookupData!AN$7</f>
        <v>5.5535086250209345</v>
      </c>
      <c r="Q106" s="172">
        <f t="shared" si="14"/>
        <v>59.777469338150119</v>
      </c>
      <c r="R106" s="156"/>
      <c r="S106" s="86"/>
      <c r="T106" s="86"/>
      <c r="U106" s="157">
        <f t="shared" si="15"/>
        <v>0.76</v>
      </c>
      <c r="V106" s="86"/>
      <c r="W106" s="86"/>
      <c r="X106" s="86"/>
    </row>
    <row r="107" spans="1:24" ht="30">
      <c r="A107" s="152"/>
      <c r="B107" s="173"/>
      <c r="C107" s="174" t="s">
        <v>264</v>
      </c>
      <c r="D107" s="176">
        <v>52.9</v>
      </c>
      <c r="E107" s="176">
        <v>22.7</v>
      </c>
      <c r="F107" s="175"/>
      <c r="G107" s="176">
        <f>(D107-LookupData!$AM$4*E107)/(LookupData!$AM$2-LookupData!$AM$4)</f>
        <v>16.60857142857143</v>
      </c>
      <c r="H107" s="176">
        <f t="shared" si="20"/>
        <v>6.091428571428569</v>
      </c>
      <c r="I107" s="175"/>
      <c r="J107" s="176">
        <f>D107*LookupData!$AN$10</f>
        <v>166.88477756270348</v>
      </c>
      <c r="K107" s="176">
        <f>E107*LookupData!$AN$10</f>
        <v>71.612182432388835</v>
      </c>
      <c r="L107" s="178"/>
      <c r="M107" s="176">
        <f>G107*LookupData!$AN$10</f>
        <v>52.395420576397271</v>
      </c>
      <c r="N107" s="176">
        <f>H107*LookupData!$AN$10</f>
        <v>19.216761855991557</v>
      </c>
      <c r="O107" s="178"/>
      <c r="P107" s="176">
        <f>(M107+N107*0.75)*LookupData!AN$7</f>
        <v>6.2066655501591024</v>
      </c>
      <c r="Q107" s="179">
        <f t="shared" si="14"/>
        <v>66.807991968390937</v>
      </c>
      <c r="R107" s="156"/>
      <c r="S107" s="86"/>
      <c r="T107" s="86"/>
      <c r="U107" s="157">
        <f t="shared" si="15"/>
        <v>0.74</v>
      </c>
      <c r="V107" s="86"/>
      <c r="W107" s="86"/>
      <c r="X107" s="86"/>
    </row>
    <row r="108" spans="1:24">
      <c r="A108" s="152"/>
      <c r="B108" s="173"/>
      <c r="C108" s="174" t="s">
        <v>226</v>
      </c>
      <c r="D108" s="176">
        <v>52.9</v>
      </c>
      <c r="E108" s="176">
        <v>22.7</v>
      </c>
      <c r="F108" s="175"/>
      <c r="G108" s="176">
        <f>(D108-LookupData!$AM$4*E108)/(LookupData!$AM$2-LookupData!$AM$4)</f>
        <v>16.60857142857143</v>
      </c>
      <c r="H108" s="176">
        <f t="shared" si="20"/>
        <v>6.091428571428569</v>
      </c>
      <c r="I108" s="175"/>
      <c r="J108" s="176">
        <f>D108*LookupData!$AN$10</f>
        <v>166.88477756270348</v>
      </c>
      <c r="K108" s="176">
        <f>E108*LookupData!$AN$10</f>
        <v>71.612182432388835</v>
      </c>
      <c r="L108" s="178"/>
      <c r="M108" s="176">
        <f>G108*LookupData!$AN$10</f>
        <v>52.395420576397271</v>
      </c>
      <c r="N108" s="176">
        <f>H108*LookupData!$AN$10</f>
        <v>19.216761855991557</v>
      </c>
      <c r="O108" s="178"/>
      <c r="P108" s="176">
        <f>(M108+N108*0.75)*LookupData!AN$7</f>
        <v>6.2066655501591024</v>
      </c>
      <c r="Q108" s="179">
        <f t="shared" si="14"/>
        <v>66.807991968390937</v>
      </c>
      <c r="R108" s="156"/>
      <c r="S108" s="86"/>
      <c r="T108" s="86"/>
      <c r="U108" s="157">
        <f t="shared" si="15"/>
        <v>0.74</v>
      </c>
      <c r="V108" s="86"/>
      <c r="W108" s="86"/>
      <c r="X108" s="86"/>
    </row>
    <row r="109" spans="1:24">
      <c r="A109" s="152"/>
      <c r="B109" s="180"/>
      <c r="C109" s="181" t="s">
        <v>227</v>
      </c>
      <c r="D109" s="183">
        <v>235.6</v>
      </c>
      <c r="E109" s="183">
        <v>84.1</v>
      </c>
      <c r="F109" s="182"/>
      <c r="G109" s="183">
        <f>(D109-LookupData!$AM$4*E109)/(LookupData!$AM$2-LookupData!$AM$4)</f>
        <v>84.168571428571454</v>
      </c>
      <c r="H109" s="183">
        <f t="shared" si="20"/>
        <v>-6.8571428571459592E-2</v>
      </c>
      <c r="I109" s="182"/>
      <c r="J109" s="183">
        <f>D109*LookupData!$AN$10</f>
        <v>743.25243088417653</v>
      </c>
      <c r="K109" s="183">
        <f>E109*LookupData!$AN$10</f>
        <v>265.31209438607493</v>
      </c>
      <c r="L109" s="184"/>
      <c r="M109" s="183">
        <f>K109</f>
        <v>265.31209438607493</v>
      </c>
      <c r="N109" s="183"/>
      <c r="O109" s="184"/>
      <c r="P109" s="183">
        <f>(M109+N109*0.75)*LookupData!AN$7</f>
        <v>24.648300117233298</v>
      </c>
      <c r="Q109" s="185">
        <f t="shared" si="14"/>
        <v>265.31209438607493</v>
      </c>
      <c r="R109" s="156"/>
      <c r="S109" s="86"/>
      <c r="T109" s="86"/>
      <c r="U109" s="157">
        <f t="shared" si="15"/>
        <v>1</v>
      </c>
      <c r="V109" s="86"/>
      <c r="W109" s="86"/>
      <c r="X109" s="86"/>
    </row>
    <row r="110" spans="1:24">
      <c r="A110" s="152"/>
      <c r="B110" s="180" t="s">
        <v>45</v>
      </c>
      <c r="C110" s="181" t="s">
        <v>45</v>
      </c>
      <c r="D110" s="183">
        <v>89.3</v>
      </c>
      <c r="E110" s="183">
        <v>40.1</v>
      </c>
      <c r="F110" s="182"/>
      <c r="G110" s="183">
        <f>(D110-LookupData!$AM$4*E110)/(LookupData!$AM$2-LookupData!$AM$4)</f>
        <v>26.96857142857143</v>
      </c>
      <c r="H110" s="183">
        <f t="shared" ref="H110" si="21">E110-G110</f>
        <v>13.131428571428572</v>
      </c>
      <c r="I110" s="182"/>
      <c r="J110" s="183">
        <f>D110*LookupData!$AN$10</f>
        <v>281.71664718997016</v>
      </c>
      <c r="K110" s="183">
        <f>E110*LookupData!$AN$10</f>
        <v>126.50433989157675</v>
      </c>
      <c r="L110" s="184" t="s">
        <v>30</v>
      </c>
      <c r="M110" s="183">
        <f>G110*LookupData!$AN$10</f>
        <v>85.078337316465479</v>
      </c>
      <c r="N110" s="183">
        <f>H110*LookupData!$AN$10</f>
        <v>41.426002575111276</v>
      </c>
      <c r="O110" s="184"/>
      <c r="P110" s="183">
        <f>(M110+N110*0.75)*LookupData!AN$7</f>
        <v>10.790487355551836</v>
      </c>
      <c r="Q110" s="185">
        <f t="shared" si="14"/>
        <v>116.14783924779894</v>
      </c>
      <c r="R110" s="156"/>
      <c r="S110" s="86"/>
      <c r="T110" s="86"/>
      <c r="U110" s="157">
        <f t="shared" si="15"/>
        <v>0.68</v>
      </c>
      <c r="V110" s="86"/>
      <c r="W110" s="86"/>
      <c r="X110" s="86"/>
    </row>
    <row r="111" spans="1:24">
      <c r="A111" s="152"/>
      <c r="B111" s="152"/>
      <c r="C111" s="151"/>
      <c r="D111" s="153"/>
      <c r="E111" s="153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86"/>
      <c r="T111" s="86"/>
      <c r="U111" s="86"/>
      <c r="V111" s="86"/>
      <c r="W111" s="86"/>
      <c r="X111" s="86"/>
    </row>
    <row r="112" spans="1:24">
      <c r="A112" s="152"/>
      <c r="B112" s="152"/>
      <c r="C112" s="151"/>
      <c r="D112" s="153"/>
      <c r="E112" s="153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86"/>
      <c r="T112" s="86"/>
      <c r="U112" s="86"/>
      <c r="V112" s="86"/>
      <c r="W112" s="86"/>
      <c r="X112" s="86"/>
    </row>
    <row r="113" spans="1:24">
      <c r="A113" s="152"/>
      <c r="B113" s="152"/>
      <c r="C113" s="151"/>
      <c r="D113" s="153"/>
      <c r="E113" s="153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86"/>
      <c r="T113" s="86"/>
      <c r="U113" s="86"/>
      <c r="V113" s="86"/>
      <c r="W113" s="86"/>
      <c r="X113" s="86"/>
    </row>
    <row r="114" spans="1:24">
      <c r="A114" s="152"/>
      <c r="B114" s="152"/>
      <c r="C114" s="151"/>
      <c r="D114" s="153"/>
      <c r="E114" s="153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86"/>
      <c r="T114" s="86"/>
      <c r="U114" s="86"/>
      <c r="V114" s="86"/>
      <c r="W114" s="86"/>
      <c r="X114" s="86"/>
    </row>
    <row r="115" spans="1:24">
      <c r="A115" s="152"/>
      <c r="B115" s="152"/>
      <c r="C115" s="151"/>
      <c r="D115" s="153"/>
      <c r="E115" s="153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86"/>
      <c r="T115" s="86"/>
      <c r="U115" s="86"/>
      <c r="V115" s="86"/>
      <c r="W115" s="86"/>
      <c r="X115" s="86"/>
    </row>
    <row r="116" spans="1:24">
      <c r="A116" s="152"/>
      <c r="B116" s="152"/>
      <c r="C116" s="151"/>
      <c r="D116" s="153"/>
      <c r="E116" s="153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86"/>
      <c r="T116" s="86"/>
      <c r="U116" s="86"/>
      <c r="V116" s="86"/>
      <c r="W116" s="86"/>
      <c r="X116" s="86"/>
    </row>
    <row r="117" spans="1:24">
      <c r="A117" s="152"/>
      <c r="B117" s="152"/>
      <c r="C117" s="151"/>
      <c r="D117" s="153"/>
      <c r="E117" s="153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86"/>
      <c r="T117" s="86"/>
      <c r="U117" s="86"/>
      <c r="V117" s="86"/>
      <c r="W117" s="86"/>
      <c r="X117" s="86"/>
    </row>
    <row r="118" spans="1:24">
      <c r="A118" s="152"/>
      <c r="B118" s="152"/>
      <c r="C118" s="151"/>
      <c r="D118" s="153"/>
      <c r="E118" s="153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86"/>
      <c r="T118" s="86"/>
      <c r="U118" s="86"/>
      <c r="V118" s="86"/>
      <c r="W118" s="86"/>
      <c r="X118" s="86"/>
    </row>
    <row r="119" spans="1:24">
      <c r="A119" s="152"/>
      <c r="B119" s="152"/>
      <c r="C119" s="151"/>
      <c r="D119" s="153"/>
      <c r="E119" s="153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86"/>
      <c r="T119" s="86"/>
      <c r="U119" s="86"/>
      <c r="V119" s="86"/>
      <c r="W119" s="86"/>
      <c r="X119" s="86"/>
    </row>
    <row r="120" spans="1:24">
      <c r="A120" s="152"/>
      <c r="B120" s="152"/>
      <c r="C120" s="151"/>
      <c r="D120" s="153"/>
      <c r="E120" s="153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86"/>
      <c r="T120" s="86"/>
      <c r="U120" s="86"/>
      <c r="V120" s="86"/>
      <c r="W120" s="86"/>
      <c r="X120" s="86"/>
    </row>
    <row r="121" spans="1:24">
      <c r="A121" s="152"/>
      <c r="B121" s="152"/>
      <c r="C121" s="151"/>
      <c r="D121" s="153"/>
      <c r="E121" s="153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86"/>
      <c r="T121" s="86"/>
      <c r="U121" s="86"/>
      <c r="V121" s="86"/>
      <c r="W121" s="86"/>
      <c r="X121" s="86"/>
    </row>
    <row r="122" spans="1:24">
      <c r="A122" s="152"/>
      <c r="B122" s="152"/>
      <c r="C122" s="151"/>
      <c r="D122" s="153"/>
      <c r="E122" s="153"/>
      <c r="F122" s="152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86"/>
      <c r="T122" s="86"/>
      <c r="U122" s="86"/>
      <c r="V122" s="86"/>
      <c r="W122" s="86"/>
      <c r="X122" s="86"/>
    </row>
    <row r="123" spans="1:24">
      <c r="A123" s="152"/>
      <c r="B123" s="152"/>
      <c r="C123" s="151"/>
      <c r="D123" s="153"/>
      <c r="E123" s="153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86"/>
      <c r="T123" s="86"/>
      <c r="U123" s="86"/>
      <c r="V123" s="86"/>
      <c r="W123" s="86"/>
      <c r="X123" s="86"/>
    </row>
    <row r="124" spans="1:24">
      <c r="A124" s="152"/>
      <c r="B124" s="152"/>
      <c r="C124" s="151"/>
      <c r="D124" s="153"/>
      <c r="E124" s="153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86"/>
      <c r="T124" s="86"/>
      <c r="U124" s="86"/>
      <c r="V124" s="86"/>
      <c r="W124" s="86"/>
      <c r="X124" s="86"/>
    </row>
    <row r="125" spans="1:24">
      <c r="A125" s="152"/>
      <c r="B125" s="152"/>
      <c r="C125" s="151"/>
      <c r="D125" s="153"/>
      <c r="E125" s="153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86"/>
      <c r="T125" s="86"/>
      <c r="U125" s="86"/>
      <c r="V125" s="86"/>
      <c r="W125" s="86"/>
      <c r="X125" s="86"/>
    </row>
    <row r="126" spans="1:24">
      <c r="A126" s="152"/>
      <c r="B126" s="152"/>
      <c r="C126" s="151"/>
      <c r="D126" s="153"/>
      <c r="E126" s="153"/>
      <c r="F126" s="152"/>
      <c r="G126" s="152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86"/>
      <c r="T126" s="86"/>
      <c r="U126" s="86"/>
      <c r="V126" s="86"/>
      <c r="W126" s="86"/>
      <c r="X126" s="86"/>
    </row>
    <row r="127" spans="1:24">
      <c r="A127" s="152"/>
      <c r="B127" s="152"/>
      <c r="C127" s="151"/>
      <c r="D127" s="153"/>
      <c r="E127" s="153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86"/>
      <c r="T127" s="86"/>
      <c r="U127" s="86"/>
      <c r="V127" s="86"/>
      <c r="W127" s="86"/>
      <c r="X127" s="86"/>
    </row>
    <row r="128" spans="1:24">
      <c r="A128" s="152"/>
      <c r="B128" s="152"/>
      <c r="C128" s="151"/>
      <c r="D128" s="153"/>
      <c r="E128" s="153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86"/>
      <c r="T128" s="86"/>
      <c r="U128" s="86"/>
      <c r="V128" s="86"/>
      <c r="W128" s="86"/>
      <c r="X128" s="86"/>
    </row>
    <row r="129" spans="1:21">
      <c r="A129" s="152"/>
      <c r="S129" s="86"/>
      <c r="T129" s="86"/>
      <c r="U129" s="86"/>
    </row>
    <row r="130" spans="1:21">
      <c r="U130" s="86"/>
    </row>
    <row r="131" spans="1:21">
      <c r="U131" s="86"/>
    </row>
  </sheetData>
  <sheetProtection algorithmName="SHA-512" hashValue="+n5DaNd7wGYwTcUTN556ln0T6JOdDn+0lanGleFXYX3+U227d7BZGp26jSfLc4jXQVScnmCCbyUxvKF5/XHzgQ==" saltValue="QqZ/iU2nTtQ99pyjGImqzQ==" spinCount="100000" sheet="1" objects="1" scenarios="1" formatCells="0" insertRows="0"/>
  <mergeCells count="26">
    <mergeCell ref="B12:C13"/>
    <mergeCell ref="D13:E13"/>
    <mergeCell ref="D12:E12"/>
    <mergeCell ref="D21:E21"/>
    <mergeCell ref="B20:C20"/>
    <mergeCell ref="D14:E14"/>
    <mergeCell ref="D15:E15"/>
    <mergeCell ref="D16:E16"/>
    <mergeCell ref="D17:E17"/>
    <mergeCell ref="D18:E18"/>
    <mergeCell ref="D19:E19"/>
    <mergeCell ref="D20:E20"/>
    <mergeCell ref="B14:C14"/>
    <mergeCell ref="B15:C15"/>
    <mergeCell ref="B16:C16"/>
    <mergeCell ref="B17:C17"/>
    <mergeCell ref="B18:C18"/>
    <mergeCell ref="B19:C19"/>
    <mergeCell ref="M20:N20"/>
    <mergeCell ref="M21:N21"/>
    <mergeCell ref="M14:N14"/>
    <mergeCell ref="M15:N15"/>
    <mergeCell ref="M16:N16"/>
    <mergeCell ref="M17:N17"/>
    <mergeCell ref="M18:N18"/>
    <mergeCell ref="M19:N19"/>
  </mergeCells>
  <conditionalFormatting sqref="U30:U110">
    <cfRule type="cellIs" dxfId="2" priority="1" stopIfTrue="1" operator="between">
      <formula>0.7</formula>
      <formula>1</formula>
    </cfRule>
    <cfRule type="cellIs" dxfId="1" priority="2" stopIfTrue="1" operator="between">
      <formula>0.66</formula>
      <formula>0.7</formula>
    </cfRule>
    <cfRule type="cellIs" dxfId="0" priority="3" operator="between">
      <formula>0.01</formula>
      <formula>0.66</formula>
    </cfRule>
  </conditionalFormatting>
  <dataValidations count="2">
    <dataValidation type="list" allowBlank="1" showInputMessage="1" showErrorMessage="1" sqref="K7" xr:uid="{CEEF3DA9-B5D2-4E09-B3E8-92523C6D4EFA}">
      <formula1>"No,Yes"</formula1>
    </dataValidation>
    <dataValidation type="list" allowBlank="1" showInputMessage="1" showErrorMessage="1" sqref="B14:C20" xr:uid="{1695DA88-471B-48E0-A726-17CACFBE7D46}">
      <formula1>Building_Type_List</formula1>
    </dataValidation>
  </dataValidations>
  <hyperlinks>
    <hyperlink ref="B24" r:id="rId1" display="Source: https://portfoliomanager.energystar.gov/pdf/reference/US%20National%20Median%20Table.pdf" xr:uid="{6B7A5220-27F5-439D-AF85-BD60A4A7494C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079E-D691-4969-B9F6-43368C040B04}">
  <dimension ref="A1:L104"/>
  <sheetViews>
    <sheetView showGridLines="0" zoomScaleNormal="100" workbookViewId="0">
      <selection activeCell="J33" sqref="J33"/>
    </sheetView>
  </sheetViews>
  <sheetFormatPr defaultRowHeight="15"/>
  <cols>
    <col min="1" max="2" width="2.7109375" style="338" customWidth="1"/>
    <col min="3" max="3" width="7" style="338" customWidth="1"/>
    <col min="4" max="4" width="2.42578125" style="338" customWidth="1"/>
    <col min="5" max="5" width="5.7109375" style="338" customWidth="1"/>
    <col min="6" max="6" width="69.140625" style="338" customWidth="1"/>
    <col min="7" max="7" width="12.42578125" style="338" customWidth="1"/>
    <col min="8" max="8" width="19.140625" style="339" customWidth="1"/>
    <col min="9" max="9" width="2.7109375" style="338" customWidth="1"/>
  </cols>
  <sheetData>
    <row r="1" spans="1:12">
      <c r="A1" s="256"/>
      <c r="B1" s="256"/>
      <c r="C1" s="256"/>
      <c r="D1" s="256"/>
      <c r="E1" s="256"/>
      <c r="F1" s="256"/>
      <c r="G1" s="256"/>
      <c r="H1" s="257"/>
      <c r="I1" s="256"/>
      <c r="J1" s="256"/>
      <c r="K1" s="256"/>
      <c r="L1" s="256"/>
    </row>
    <row r="2" spans="1:12">
      <c r="A2" s="256"/>
      <c r="B2" s="258"/>
      <c r="C2" s="259"/>
      <c r="D2" s="259"/>
      <c r="E2" s="259"/>
      <c r="F2" s="259"/>
      <c r="G2" s="259"/>
      <c r="H2" s="260"/>
      <c r="I2" s="261"/>
      <c r="J2" s="256"/>
      <c r="K2" s="256"/>
      <c r="L2" s="256"/>
    </row>
    <row r="3" spans="1:12" ht="20.25">
      <c r="A3" s="256"/>
      <c r="B3" s="262"/>
      <c r="C3" s="263" t="s">
        <v>321</v>
      </c>
      <c r="D3" s="264"/>
      <c r="E3" s="264"/>
      <c r="F3" s="265"/>
      <c r="G3" s="265"/>
      <c r="H3" s="266"/>
      <c r="I3" s="267"/>
      <c r="J3" s="268"/>
      <c r="K3" s="268"/>
      <c r="L3" s="256"/>
    </row>
    <row r="4" spans="1:12">
      <c r="A4" s="256"/>
      <c r="B4" s="262"/>
      <c r="C4" s="269" t="s">
        <v>310</v>
      </c>
      <c r="D4" s="264"/>
      <c r="E4" s="264"/>
      <c r="F4" s="270"/>
      <c r="G4" s="270"/>
      <c r="H4" s="266"/>
      <c r="I4" s="271"/>
      <c r="J4" s="256"/>
      <c r="K4" s="272"/>
      <c r="L4" s="256"/>
    </row>
    <row r="5" spans="1:12" s="84" customFormat="1">
      <c r="A5" s="256"/>
      <c r="B5" s="262"/>
      <c r="C5" s="269"/>
      <c r="D5" s="264"/>
      <c r="E5" s="264"/>
      <c r="F5" s="270"/>
      <c r="G5" s="270"/>
      <c r="H5" s="266"/>
      <c r="I5" s="271"/>
      <c r="J5" s="256"/>
      <c r="K5" s="272"/>
      <c r="L5" s="256"/>
    </row>
    <row r="6" spans="1:12">
      <c r="A6" s="256"/>
      <c r="B6" s="262"/>
      <c r="C6" s="152"/>
      <c r="D6" s="152"/>
      <c r="E6" s="152"/>
      <c r="F6" s="152"/>
      <c r="G6" s="152"/>
      <c r="H6" s="152"/>
      <c r="I6" s="271"/>
      <c r="J6" s="256"/>
      <c r="K6" s="274"/>
      <c r="L6" s="256"/>
    </row>
    <row r="7" spans="1:12">
      <c r="A7" s="256"/>
      <c r="B7" s="275"/>
      <c r="C7" s="276"/>
      <c r="D7" s="277"/>
      <c r="E7" s="275"/>
      <c r="F7" s="277"/>
      <c r="G7" s="275"/>
      <c r="H7" s="278"/>
      <c r="I7" s="275"/>
      <c r="J7" s="256"/>
      <c r="K7" s="274"/>
      <c r="L7" s="256"/>
    </row>
    <row r="8" spans="1:12">
      <c r="A8" s="256"/>
      <c r="B8" s="258"/>
      <c r="C8" s="279"/>
      <c r="D8" s="259"/>
      <c r="E8" s="259"/>
      <c r="F8" s="259"/>
      <c r="G8" s="259"/>
      <c r="H8" s="260"/>
      <c r="I8" s="261"/>
      <c r="J8" s="281"/>
      <c r="K8" s="281"/>
      <c r="L8" s="256"/>
    </row>
    <row r="9" spans="1:12" s="84" customFormat="1">
      <c r="A9" s="256"/>
      <c r="B9" s="262"/>
      <c r="C9" s="335" t="s">
        <v>322</v>
      </c>
      <c r="D9" s="336"/>
      <c r="E9" s="336"/>
      <c r="F9" s="336"/>
      <c r="G9" s="336"/>
      <c r="H9" s="337"/>
      <c r="I9" s="271"/>
      <c r="J9" s="281"/>
      <c r="K9" s="281"/>
      <c r="L9" s="256"/>
    </row>
    <row r="10" spans="1:12" s="84" customFormat="1">
      <c r="A10" s="256"/>
      <c r="B10" s="262"/>
      <c r="C10" s="340"/>
      <c r="D10" s="341"/>
      <c r="E10" s="341"/>
      <c r="F10" s="336"/>
      <c r="G10" s="336"/>
      <c r="H10" s="337"/>
      <c r="I10" s="271"/>
      <c r="J10" s="256"/>
      <c r="K10" s="280"/>
      <c r="L10" s="256"/>
    </row>
    <row r="11" spans="1:12">
      <c r="A11" s="256"/>
      <c r="B11" s="262"/>
      <c r="C11" s="341" t="s">
        <v>318</v>
      </c>
      <c r="D11" s="336"/>
      <c r="E11" s="342"/>
      <c r="F11" s="336"/>
      <c r="G11" s="336"/>
      <c r="H11" s="344">
        <f ca="1">'Renewable Energy'!T38</f>
        <v>0</v>
      </c>
      <c r="I11" s="271"/>
      <c r="J11" s="256"/>
      <c r="K11" s="282"/>
      <c r="L11" s="256"/>
    </row>
    <row r="12" spans="1:12" s="84" customFormat="1">
      <c r="A12" s="256"/>
      <c r="B12" s="262"/>
      <c r="C12" s="342"/>
      <c r="D12" s="342"/>
      <c r="E12" s="336"/>
      <c r="F12" s="336"/>
      <c r="G12" s="336"/>
      <c r="H12" s="337"/>
      <c r="I12" s="271"/>
      <c r="J12" s="256"/>
      <c r="K12" s="274"/>
      <c r="L12" s="256"/>
    </row>
    <row r="13" spans="1:12" s="84" customFormat="1">
      <c r="A13" s="256"/>
      <c r="B13" s="262"/>
      <c r="C13" s="342" t="s">
        <v>319</v>
      </c>
      <c r="D13" s="342"/>
      <c r="E13" s="336"/>
      <c r="F13" s="336"/>
      <c r="G13" s="336"/>
      <c r="H13" s="344">
        <f ca="1">'Renewable Energy'!T39</f>
        <v>0</v>
      </c>
      <c r="I13" s="271"/>
      <c r="J13" s="256"/>
      <c r="K13" s="273"/>
      <c r="L13" s="256"/>
    </row>
    <row r="14" spans="1:12">
      <c r="A14" s="256"/>
      <c r="B14" s="262"/>
      <c r="C14" s="341"/>
      <c r="D14" s="341"/>
      <c r="E14" s="336"/>
      <c r="F14" s="343"/>
      <c r="G14" s="336"/>
      <c r="H14" s="337"/>
      <c r="I14" s="271"/>
      <c r="J14" s="256"/>
      <c r="K14" s="282"/>
      <c r="L14" s="256"/>
    </row>
    <row r="15" spans="1:12">
      <c r="A15" s="256"/>
      <c r="B15" s="262"/>
      <c r="C15" s="341" t="s">
        <v>323</v>
      </c>
      <c r="D15" s="336"/>
      <c r="E15" s="341"/>
      <c r="F15" s="343"/>
      <c r="G15" s="336"/>
      <c r="H15" s="283">
        <f ca="1">'Renewable Energy'!T40</f>
        <v>0</v>
      </c>
      <c r="I15" s="271"/>
      <c r="J15" s="256"/>
      <c r="K15" s="273"/>
      <c r="L15" s="256"/>
    </row>
    <row r="16" spans="1:12" s="84" customFormat="1">
      <c r="A16" s="256"/>
      <c r="B16" s="262"/>
      <c r="C16" s="341"/>
      <c r="D16" s="336"/>
      <c r="E16" s="341"/>
      <c r="F16" s="343"/>
      <c r="G16" s="336"/>
      <c r="H16" s="357"/>
      <c r="I16" s="271"/>
      <c r="J16" s="256"/>
      <c r="K16" s="273"/>
      <c r="L16" s="256"/>
    </row>
    <row r="17" spans="1:12" s="84" customFormat="1">
      <c r="A17" s="256"/>
      <c r="B17" s="262"/>
      <c r="C17" s="356" t="s">
        <v>329</v>
      </c>
      <c r="D17" s="336"/>
      <c r="E17" s="341"/>
      <c r="F17" s="343"/>
      <c r="G17" s="358" t="str">
        <f ca="1">IFERROR(IF('Renewable Energy'!L42&gt;0,'Renewable Energy'!L42,""),"")</f>
        <v/>
      </c>
      <c r="H17" s="359" t="str">
        <f ca="1">IFERROR('Renewable Energy'!M42,"")</f>
        <v/>
      </c>
      <c r="I17" s="271"/>
      <c r="J17" s="256"/>
      <c r="K17" s="273"/>
      <c r="L17" s="256"/>
    </row>
    <row r="18" spans="1:12" s="84" customFormat="1">
      <c r="A18" s="256"/>
      <c r="B18" s="262"/>
      <c r="C18" s="341"/>
      <c r="D18" s="336"/>
      <c r="E18" s="341"/>
      <c r="F18" s="343"/>
      <c r="G18" s="336"/>
      <c r="H18" s="357"/>
      <c r="I18" s="271"/>
      <c r="J18" s="256"/>
      <c r="K18" s="273"/>
      <c r="L18" s="256"/>
    </row>
    <row r="19" spans="1:12">
      <c r="A19" s="256"/>
      <c r="B19" s="284"/>
      <c r="C19" s="285"/>
      <c r="D19" s="286"/>
      <c r="E19" s="287"/>
      <c r="F19" s="286"/>
      <c r="G19" s="287"/>
      <c r="H19" s="288"/>
      <c r="I19" s="289"/>
      <c r="J19" s="256"/>
      <c r="K19" s="274"/>
      <c r="L19" s="256"/>
    </row>
    <row r="20" spans="1:12">
      <c r="A20" s="256"/>
      <c r="B20" s="256"/>
      <c r="C20" s="256"/>
      <c r="D20" s="400"/>
      <c r="E20" s="400"/>
      <c r="F20" s="290"/>
      <c r="G20" s="256"/>
      <c r="H20" s="257"/>
      <c r="I20" s="256"/>
      <c r="J20" s="281"/>
      <c r="K20" s="401"/>
      <c r="L20" s="256"/>
    </row>
    <row r="21" spans="1:12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401"/>
      <c r="L21" s="256"/>
    </row>
    <row r="22" spans="1:12">
      <c r="A22" s="256"/>
      <c r="B22" s="256"/>
      <c r="C22" s="256"/>
      <c r="D22" s="256"/>
      <c r="E22" s="256"/>
      <c r="F22" s="256"/>
      <c r="G22" s="256"/>
      <c r="H22" s="257"/>
      <c r="I22" s="256"/>
      <c r="J22" s="281"/>
      <c r="K22" s="291"/>
      <c r="L22" s="256"/>
    </row>
    <row r="23" spans="1:12">
      <c r="A23" s="256"/>
      <c r="B23" s="256"/>
      <c r="C23" s="256"/>
      <c r="D23" s="256"/>
      <c r="E23" s="256"/>
      <c r="F23" s="256"/>
      <c r="G23" s="256"/>
      <c r="H23" s="257"/>
      <c r="I23" s="256"/>
      <c r="J23" s="281"/>
      <c r="K23" s="281"/>
      <c r="L23" s="256"/>
    </row>
    <row r="24" spans="1:12">
      <c r="A24" s="256"/>
      <c r="B24" s="256"/>
      <c r="C24" s="256"/>
      <c r="D24" s="256"/>
      <c r="E24" s="256"/>
      <c r="F24" s="256"/>
      <c r="G24" s="256"/>
      <c r="H24" s="257"/>
      <c r="I24" s="256"/>
      <c r="J24" s="256"/>
      <c r="K24" s="256"/>
      <c r="L24" s="256"/>
    </row>
    <row r="25" spans="1:12">
      <c r="A25" s="256"/>
      <c r="B25" s="256"/>
      <c r="C25" s="256"/>
      <c r="D25" s="256"/>
      <c r="E25" s="256"/>
      <c r="F25" s="256"/>
      <c r="G25" s="256"/>
      <c r="H25" s="257"/>
      <c r="I25" s="256"/>
      <c r="J25" s="256"/>
      <c r="K25" s="256"/>
      <c r="L25" s="256"/>
    </row>
    <row r="26" spans="1:12">
      <c r="A26" s="256"/>
      <c r="B26" s="256"/>
      <c r="C26" s="256"/>
      <c r="D26" s="256"/>
      <c r="E26" s="256"/>
      <c r="F26" s="256"/>
      <c r="G26" s="256"/>
      <c r="H26" s="257"/>
      <c r="I26" s="256"/>
      <c r="J26" s="256"/>
      <c r="K26" s="256"/>
      <c r="L26" s="256"/>
    </row>
    <row r="27" spans="1:12">
      <c r="A27" s="256"/>
      <c r="B27" s="256"/>
      <c r="C27" s="256"/>
      <c r="D27" s="256"/>
      <c r="E27" s="256"/>
      <c r="F27" s="256"/>
      <c r="G27" s="256"/>
      <c r="H27" s="257"/>
      <c r="I27" s="256"/>
      <c r="J27" s="256"/>
      <c r="K27" s="256"/>
      <c r="L27" s="256"/>
    </row>
    <row r="28" spans="1:12">
      <c r="A28" s="256"/>
      <c r="B28" s="256"/>
      <c r="C28" s="256"/>
      <c r="D28" s="256"/>
      <c r="E28" s="256"/>
      <c r="F28" s="256"/>
      <c r="G28" s="256"/>
      <c r="H28" s="257"/>
      <c r="I28" s="256"/>
      <c r="J28" s="256"/>
      <c r="K28" s="256"/>
      <c r="L28" s="256"/>
    </row>
    <row r="29" spans="1:12">
      <c r="A29" s="256"/>
      <c r="B29" s="256"/>
      <c r="C29" s="256"/>
      <c r="D29" s="256"/>
      <c r="E29" s="256"/>
      <c r="F29" s="256"/>
      <c r="G29" s="256"/>
      <c r="H29" s="257"/>
      <c r="I29" s="256"/>
      <c r="J29" s="256"/>
      <c r="K29" s="256"/>
      <c r="L29" s="256"/>
    </row>
    <row r="30" spans="1:12">
      <c r="A30" s="256"/>
      <c r="B30" s="256"/>
      <c r="C30" s="256"/>
      <c r="D30" s="256"/>
      <c r="E30" s="256"/>
      <c r="F30" s="256"/>
      <c r="G30" s="256"/>
      <c r="H30" s="257"/>
      <c r="I30" s="256"/>
      <c r="J30" s="256"/>
      <c r="K30" s="256"/>
      <c r="L30" s="256"/>
    </row>
    <row r="31" spans="1:12">
      <c r="A31" s="256"/>
      <c r="B31" s="256"/>
      <c r="C31" s="256"/>
      <c r="D31" s="256"/>
      <c r="E31" s="256"/>
      <c r="F31" s="256"/>
      <c r="G31" s="256"/>
      <c r="H31" s="257"/>
      <c r="I31" s="256"/>
      <c r="J31" s="256"/>
      <c r="K31" s="256"/>
      <c r="L31" s="256"/>
    </row>
    <row r="32" spans="1:12">
      <c r="A32" s="256"/>
      <c r="B32" s="256"/>
      <c r="C32" s="256"/>
      <c r="D32" s="256"/>
      <c r="E32" s="256"/>
      <c r="F32" s="256"/>
      <c r="G32" s="256"/>
      <c r="H32" s="257"/>
      <c r="I32" s="256"/>
      <c r="J32" s="256"/>
      <c r="K32" s="256"/>
      <c r="L32" s="256"/>
    </row>
    <row r="33" spans="1:12">
      <c r="A33" s="256"/>
      <c r="B33" s="256"/>
      <c r="C33" s="256"/>
      <c r="D33" s="256"/>
      <c r="E33" s="256"/>
      <c r="F33" s="256"/>
      <c r="G33" s="256"/>
      <c r="H33" s="257"/>
      <c r="I33" s="256"/>
      <c r="J33" s="256"/>
      <c r="K33" s="256"/>
      <c r="L33" s="256"/>
    </row>
    <row r="34" spans="1:12">
      <c r="A34" s="256"/>
      <c r="B34" s="256"/>
      <c r="C34" s="256"/>
      <c r="D34" s="256"/>
      <c r="E34" s="256"/>
      <c r="F34" s="256"/>
      <c r="G34" s="256"/>
      <c r="H34" s="257"/>
      <c r="I34" s="256"/>
      <c r="J34" s="256"/>
      <c r="K34" s="256"/>
      <c r="L34" s="256"/>
    </row>
    <row r="35" spans="1:12">
      <c r="A35" s="256"/>
      <c r="B35" s="256"/>
      <c r="C35" s="256"/>
      <c r="D35" s="256"/>
      <c r="E35" s="256"/>
      <c r="F35" s="256"/>
      <c r="G35" s="256"/>
      <c r="H35" s="257"/>
      <c r="I35" s="256"/>
      <c r="J35" s="256"/>
      <c r="K35" s="256"/>
      <c r="L35" s="256"/>
    </row>
    <row r="36" spans="1:12">
      <c r="A36" s="256"/>
      <c r="B36" s="256"/>
      <c r="C36" s="256"/>
      <c r="D36" s="256"/>
      <c r="E36" s="256"/>
      <c r="F36" s="256"/>
      <c r="G36" s="256"/>
      <c r="H36" s="257"/>
      <c r="I36" s="256"/>
      <c r="J36" s="256"/>
      <c r="K36" s="256"/>
      <c r="L36" s="256"/>
    </row>
    <row r="37" spans="1:12">
      <c r="A37" s="256"/>
      <c r="B37" s="256"/>
      <c r="C37" s="256"/>
      <c r="D37" s="256"/>
      <c r="E37" s="256"/>
      <c r="F37" s="256"/>
      <c r="G37" s="256"/>
      <c r="H37" s="257"/>
      <c r="I37" s="256"/>
      <c r="J37" s="256"/>
      <c r="K37" s="256"/>
      <c r="L37" s="256"/>
    </row>
    <row r="38" spans="1:12">
      <c r="A38" s="256"/>
      <c r="B38" s="256"/>
      <c r="C38" s="256"/>
      <c r="D38" s="256"/>
      <c r="E38" s="256"/>
      <c r="F38" s="256"/>
      <c r="G38" s="256"/>
      <c r="H38" s="257"/>
      <c r="I38" s="256"/>
      <c r="J38" s="256"/>
      <c r="K38" s="256"/>
      <c r="L38" s="256"/>
    </row>
    <row r="39" spans="1:12">
      <c r="A39" s="256"/>
      <c r="B39" s="256"/>
      <c r="C39" s="256"/>
      <c r="D39" s="256"/>
      <c r="E39" s="256"/>
      <c r="F39" s="256"/>
      <c r="G39" s="256"/>
      <c r="H39" s="257"/>
      <c r="I39" s="256"/>
      <c r="J39" s="256"/>
      <c r="K39" s="256"/>
      <c r="L39" s="256"/>
    </row>
    <row r="40" spans="1:12">
      <c r="A40" s="256"/>
      <c r="B40" s="256"/>
      <c r="C40" s="256"/>
      <c r="D40" s="256"/>
      <c r="E40" s="256"/>
      <c r="F40" s="256"/>
      <c r="G40" s="256"/>
      <c r="H40" s="257"/>
      <c r="I40" s="256"/>
      <c r="J40" s="256"/>
      <c r="K40" s="256"/>
      <c r="L40" s="256"/>
    </row>
    <row r="41" spans="1:12">
      <c r="A41" s="256"/>
      <c r="B41" s="256"/>
      <c r="C41" s="256"/>
      <c r="D41" s="256"/>
      <c r="E41" s="256"/>
      <c r="F41" s="256"/>
      <c r="G41" s="256"/>
      <c r="H41" s="257"/>
      <c r="I41" s="256"/>
      <c r="J41" s="256"/>
      <c r="K41" s="256"/>
      <c r="L41" s="256"/>
    </row>
    <row r="42" spans="1:12">
      <c r="A42" s="256"/>
      <c r="B42" s="256"/>
      <c r="C42" s="256"/>
      <c r="D42" s="256"/>
      <c r="E42" s="256"/>
      <c r="F42" s="256"/>
      <c r="G42" s="256"/>
      <c r="H42" s="257"/>
      <c r="I42" s="256"/>
      <c r="J42" s="256"/>
      <c r="K42" s="256"/>
      <c r="L42" s="256"/>
    </row>
    <row r="43" spans="1:12">
      <c r="A43" s="256"/>
      <c r="B43" s="256"/>
      <c r="C43" s="256"/>
      <c r="D43" s="256"/>
      <c r="E43" s="256"/>
      <c r="F43" s="256"/>
      <c r="G43" s="256"/>
      <c r="H43" s="257"/>
      <c r="I43" s="256"/>
      <c r="J43" s="256"/>
      <c r="K43" s="256"/>
      <c r="L43" s="256"/>
    </row>
    <row r="44" spans="1:12">
      <c r="A44" s="256"/>
      <c r="B44" s="256"/>
      <c r="C44" s="256"/>
      <c r="D44" s="256"/>
      <c r="E44" s="256"/>
      <c r="F44" s="256"/>
      <c r="G44" s="256"/>
      <c r="H44" s="257"/>
      <c r="I44" s="256"/>
      <c r="J44" s="256"/>
      <c r="K44" s="256"/>
      <c r="L44" s="256"/>
    </row>
    <row r="45" spans="1:12">
      <c r="A45" s="256"/>
      <c r="B45" s="256"/>
      <c r="C45" s="256"/>
      <c r="D45" s="256"/>
      <c r="E45" s="256"/>
      <c r="F45" s="256"/>
      <c r="G45" s="256"/>
      <c r="H45" s="257"/>
      <c r="I45" s="256"/>
      <c r="J45" s="256"/>
      <c r="K45" s="256"/>
      <c r="L45" s="256"/>
    </row>
    <row r="46" spans="1:12">
      <c r="A46" s="256"/>
      <c r="B46" s="256"/>
      <c r="C46" s="256"/>
      <c r="D46" s="256"/>
      <c r="E46" s="256"/>
      <c r="F46" s="256"/>
      <c r="G46" s="256"/>
      <c r="H46" s="257"/>
      <c r="I46" s="256"/>
      <c r="J46" s="256"/>
      <c r="K46" s="256"/>
      <c r="L46" s="256"/>
    </row>
    <row r="47" spans="1:12">
      <c r="A47" s="256"/>
      <c r="B47" s="256"/>
      <c r="C47" s="256"/>
      <c r="D47" s="256"/>
      <c r="E47" s="256"/>
      <c r="F47" s="256"/>
      <c r="G47" s="256"/>
      <c r="H47" s="257"/>
      <c r="I47" s="256"/>
      <c r="J47" s="256"/>
      <c r="K47" s="256"/>
      <c r="L47" s="256"/>
    </row>
    <row r="48" spans="1:12">
      <c r="A48" s="256"/>
      <c r="B48" s="256"/>
      <c r="C48" s="256"/>
      <c r="D48" s="256"/>
      <c r="E48" s="256"/>
      <c r="F48" s="256"/>
      <c r="G48" s="256"/>
      <c r="H48" s="257"/>
      <c r="I48" s="256"/>
      <c r="J48" s="256"/>
      <c r="K48" s="256"/>
      <c r="L48" s="256"/>
    </row>
    <row r="49" spans="1:12">
      <c r="A49" s="256"/>
      <c r="B49" s="256"/>
      <c r="C49" s="256"/>
      <c r="D49" s="256"/>
      <c r="E49" s="256"/>
      <c r="F49" s="256"/>
      <c r="G49" s="256"/>
      <c r="H49" s="257"/>
      <c r="I49" s="256"/>
      <c r="J49" s="256"/>
      <c r="K49" s="256"/>
      <c r="L49" s="256"/>
    </row>
    <row r="50" spans="1:12">
      <c r="A50" s="256"/>
      <c r="B50" s="256"/>
      <c r="C50" s="256"/>
      <c r="D50" s="256"/>
      <c r="E50" s="256"/>
      <c r="F50" s="256"/>
      <c r="G50" s="256"/>
      <c r="H50" s="257"/>
      <c r="I50" s="256"/>
      <c r="J50" s="256"/>
      <c r="K50" s="256"/>
      <c r="L50" s="256"/>
    </row>
    <row r="51" spans="1:12">
      <c r="A51" s="256"/>
      <c r="B51" s="256"/>
      <c r="C51" s="256"/>
      <c r="D51" s="256"/>
      <c r="E51" s="256"/>
      <c r="F51" s="256"/>
      <c r="G51" s="256"/>
      <c r="H51" s="257"/>
      <c r="I51" s="256"/>
      <c r="J51" s="256"/>
      <c r="K51" s="256"/>
      <c r="L51" s="256"/>
    </row>
    <row r="52" spans="1:12">
      <c r="A52" s="256"/>
      <c r="B52" s="256"/>
      <c r="C52" s="256"/>
      <c r="D52" s="256"/>
      <c r="E52" s="256"/>
      <c r="F52" s="256"/>
      <c r="G52" s="256"/>
      <c r="H52" s="257"/>
      <c r="I52" s="256"/>
      <c r="J52" s="256"/>
      <c r="K52" s="256"/>
      <c r="L52" s="256"/>
    </row>
    <row r="53" spans="1:12">
      <c r="A53" s="256"/>
      <c r="B53" s="256"/>
      <c r="C53" s="256"/>
      <c r="D53" s="256"/>
      <c r="E53" s="256"/>
      <c r="F53" s="256"/>
      <c r="G53" s="256"/>
      <c r="H53" s="257"/>
      <c r="I53" s="256"/>
      <c r="J53" s="256"/>
      <c r="K53" s="256"/>
      <c r="L53" s="256"/>
    </row>
    <row r="54" spans="1:12">
      <c r="A54" s="256"/>
      <c r="B54" s="256"/>
      <c r="C54" s="256"/>
      <c r="D54" s="256"/>
      <c r="E54" s="256"/>
      <c r="F54" s="256"/>
      <c r="G54" s="256"/>
      <c r="H54" s="257"/>
      <c r="I54" s="256"/>
      <c r="J54" s="256"/>
      <c r="K54" s="256"/>
      <c r="L54" s="256"/>
    </row>
    <row r="55" spans="1:12">
      <c r="A55" s="256"/>
      <c r="B55" s="256"/>
      <c r="C55" s="256"/>
      <c r="D55" s="256"/>
      <c r="E55" s="256"/>
      <c r="F55" s="256"/>
      <c r="G55" s="256"/>
      <c r="H55" s="257"/>
      <c r="I55" s="256"/>
      <c r="J55" s="256"/>
      <c r="K55" s="256"/>
      <c r="L55" s="256"/>
    </row>
    <row r="56" spans="1:12">
      <c r="A56" s="256"/>
      <c r="B56" s="256"/>
      <c r="C56" s="256"/>
      <c r="D56" s="256"/>
      <c r="E56" s="256"/>
      <c r="F56" s="256"/>
      <c r="G56" s="256"/>
      <c r="H56" s="257"/>
      <c r="I56" s="256"/>
      <c r="J56" s="256"/>
      <c r="K56" s="256"/>
      <c r="L56" s="256"/>
    </row>
    <row r="57" spans="1:12">
      <c r="A57" s="256"/>
      <c r="B57" s="256"/>
      <c r="C57" s="256"/>
      <c r="D57" s="256"/>
      <c r="E57" s="256"/>
      <c r="F57" s="256"/>
      <c r="G57" s="256"/>
      <c r="H57" s="257"/>
      <c r="I57" s="256"/>
      <c r="J57" s="256"/>
      <c r="K57" s="256"/>
      <c r="L57" s="256"/>
    </row>
    <row r="58" spans="1:12">
      <c r="A58" s="256"/>
      <c r="B58" s="256"/>
      <c r="C58" s="256"/>
      <c r="D58" s="256"/>
      <c r="E58" s="256"/>
      <c r="F58" s="256"/>
      <c r="G58" s="256"/>
      <c r="H58" s="257"/>
      <c r="I58" s="256"/>
      <c r="J58" s="256"/>
      <c r="K58" s="256"/>
      <c r="L58" s="256"/>
    </row>
    <row r="59" spans="1:12">
      <c r="A59" s="256"/>
      <c r="B59" s="256"/>
      <c r="C59" s="256"/>
      <c r="D59" s="256"/>
      <c r="E59" s="256"/>
      <c r="F59" s="256"/>
      <c r="G59" s="256"/>
      <c r="H59" s="257"/>
      <c r="I59" s="256"/>
      <c r="J59" s="256"/>
      <c r="K59" s="256"/>
      <c r="L59" s="256"/>
    </row>
    <row r="60" spans="1:12">
      <c r="A60" s="256"/>
      <c r="B60" s="256"/>
      <c r="C60" s="256"/>
      <c r="D60" s="256"/>
      <c r="E60" s="256"/>
      <c r="F60" s="256"/>
      <c r="G60" s="256"/>
      <c r="H60" s="257"/>
      <c r="I60" s="256"/>
      <c r="J60" s="256"/>
      <c r="K60" s="256"/>
      <c r="L60" s="256"/>
    </row>
    <row r="61" spans="1:12">
      <c r="A61" s="256"/>
      <c r="B61" s="256"/>
      <c r="C61" s="256"/>
      <c r="D61" s="256"/>
      <c r="E61" s="256"/>
      <c r="F61" s="256"/>
      <c r="G61" s="256"/>
      <c r="H61" s="257"/>
      <c r="I61" s="256"/>
      <c r="J61" s="256"/>
      <c r="K61" s="256"/>
      <c r="L61" s="256"/>
    </row>
    <row r="62" spans="1:12">
      <c r="A62" s="256"/>
      <c r="B62" s="256"/>
      <c r="C62" s="256"/>
      <c r="D62" s="256"/>
      <c r="E62" s="256"/>
      <c r="F62" s="256"/>
      <c r="G62" s="256"/>
      <c r="H62" s="257"/>
      <c r="I62" s="256"/>
      <c r="J62" s="256"/>
      <c r="K62" s="256"/>
      <c r="L62" s="256"/>
    </row>
    <row r="63" spans="1:12">
      <c r="A63" s="256"/>
      <c r="B63" s="256"/>
      <c r="C63" s="256"/>
      <c r="D63" s="256"/>
      <c r="E63" s="256"/>
      <c r="F63" s="256"/>
      <c r="G63" s="256"/>
      <c r="H63" s="257"/>
      <c r="I63" s="256"/>
      <c r="J63" s="256"/>
      <c r="K63" s="256"/>
      <c r="L63" s="256"/>
    </row>
    <row r="64" spans="1:12">
      <c r="A64" s="256"/>
      <c r="B64" s="256"/>
      <c r="C64" s="256"/>
      <c r="D64" s="256"/>
      <c r="E64" s="256"/>
      <c r="F64" s="256"/>
      <c r="G64" s="256"/>
      <c r="H64" s="257"/>
      <c r="I64" s="256"/>
      <c r="J64" s="256"/>
      <c r="K64" s="256"/>
      <c r="L64" s="256"/>
    </row>
    <row r="65" spans="1:12">
      <c r="A65" s="256"/>
      <c r="B65" s="256"/>
      <c r="C65" s="256"/>
      <c r="D65" s="256"/>
      <c r="E65" s="256"/>
      <c r="F65" s="256"/>
      <c r="G65" s="256"/>
      <c r="H65" s="257"/>
      <c r="I65" s="256"/>
      <c r="J65" s="256"/>
      <c r="K65" s="256"/>
      <c r="L65" s="256"/>
    </row>
    <row r="66" spans="1:12">
      <c r="A66" s="256"/>
      <c r="B66" s="256"/>
      <c r="C66" s="256"/>
      <c r="D66" s="256"/>
      <c r="E66" s="256"/>
      <c r="F66" s="256"/>
      <c r="G66" s="256"/>
      <c r="H66" s="257"/>
      <c r="I66" s="256"/>
      <c r="J66" s="256"/>
      <c r="K66" s="256"/>
      <c r="L66" s="256"/>
    </row>
    <row r="67" spans="1:12">
      <c r="A67" s="256"/>
      <c r="B67" s="256"/>
      <c r="C67" s="256"/>
      <c r="D67" s="256"/>
      <c r="E67" s="256"/>
      <c r="F67" s="256"/>
      <c r="G67" s="256"/>
      <c r="H67" s="257"/>
      <c r="I67" s="256"/>
      <c r="J67" s="256"/>
      <c r="K67" s="256"/>
      <c r="L67" s="256"/>
    </row>
    <row r="68" spans="1:12">
      <c r="A68" s="256"/>
      <c r="B68" s="256"/>
      <c r="C68" s="256"/>
      <c r="D68" s="256"/>
      <c r="E68" s="256"/>
      <c r="F68" s="256"/>
      <c r="G68" s="256"/>
      <c r="H68" s="257"/>
      <c r="I68" s="256"/>
      <c r="J68" s="256"/>
      <c r="K68" s="256"/>
      <c r="L68" s="256"/>
    </row>
    <row r="69" spans="1:12">
      <c r="A69" s="256"/>
      <c r="B69" s="256"/>
      <c r="C69" s="256"/>
      <c r="D69" s="256"/>
      <c r="E69" s="256"/>
      <c r="F69" s="256"/>
      <c r="G69" s="256"/>
      <c r="H69" s="257"/>
      <c r="I69" s="256"/>
      <c r="J69" s="256"/>
      <c r="K69" s="256"/>
      <c r="L69" s="256"/>
    </row>
    <row r="70" spans="1:12">
      <c r="A70" s="256"/>
      <c r="B70" s="256"/>
      <c r="C70" s="256"/>
      <c r="D70" s="256"/>
      <c r="E70" s="256"/>
      <c r="F70" s="256"/>
      <c r="G70" s="256"/>
      <c r="H70" s="257"/>
      <c r="I70" s="256"/>
      <c r="J70" s="256"/>
      <c r="K70" s="256"/>
      <c r="L70" s="256"/>
    </row>
    <row r="71" spans="1:12">
      <c r="A71" s="256"/>
      <c r="B71" s="256"/>
      <c r="C71" s="256"/>
      <c r="D71" s="256"/>
      <c r="E71" s="256"/>
      <c r="F71" s="256"/>
      <c r="G71" s="256"/>
      <c r="H71" s="257"/>
      <c r="I71" s="256"/>
      <c r="J71" s="256"/>
      <c r="K71" s="256"/>
      <c r="L71" s="256"/>
    </row>
    <row r="72" spans="1:12">
      <c r="A72" s="256"/>
      <c r="B72" s="256"/>
      <c r="C72" s="256"/>
      <c r="D72" s="256"/>
      <c r="E72" s="256"/>
      <c r="F72" s="256"/>
      <c r="G72" s="256"/>
      <c r="H72" s="257"/>
      <c r="I72" s="256"/>
      <c r="J72" s="256"/>
      <c r="K72" s="256"/>
      <c r="L72" s="256"/>
    </row>
    <row r="73" spans="1:12">
      <c r="A73" s="256"/>
      <c r="B73" s="256"/>
      <c r="C73" s="256"/>
      <c r="D73" s="256"/>
      <c r="E73" s="256"/>
      <c r="F73" s="256"/>
      <c r="G73" s="256"/>
      <c r="H73" s="257"/>
      <c r="I73" s="256"/>
      <c r="J73" s="256"/>
      <c r="K73" s="256"/>
      <c r="L73" s="256"/>
    </row>
    <row r="74" spans="1:12">
      <c r="A74" s="256"/>
      <c r="B74" s="256"/>
      <c r="C74" s="256"/>
      <c r="D74" s="256"/>
      <c r="E74" s="256"/>
      <c r="F74" s="256"/>
      <c r="G74" s="256"/>
      <c r="H74" s="257"/>
      <c r="I74" s="256"/>
      <c r="J74" s="256"/>
      <c r="K74" s="256"/>
      <c r="L74" s="256"/>
    </row>
    <row r="75" spans="1:12">
      <c r="A75" s="256"/>
      <c r="B75" s="256"/>
      <c r="C75" s="256"/>
      <c r="D75" s="256"/>
      <c r="E75" s="256"/>
      <c r="F75" s="256"/>
      <c r="G75" s="256"/>
      <c r="H75" s="257"/>
      <c r="I75" s="256"/>
      <c r="J75" s="256"/>
      <c r="K75" s="256"/>
      <c r="L75" s="256"/>
    </row>
    <row r="76" spans="1:12">
      <c r="A76" s="256"/>
      <c r="B76" s="256"/>
      <c r="C76" s="256"/>
      <c r="D76" s="256"/>
      <c r="E76" s="256"/>
      <c r="F76" s="256"/>
      <c r="G76" s="256"/>
      <c r="H76" s="257"/>
      <c r="I76" s="256"/>
      <c r="J76" s="256"/>
      <c r="K76" s="256"/>
      <c r="L76" s="256"/>
    </row>
    <row r="77" spans="1:12">
      <c r="A77" s="256"/>
      <c r="B77" s="256"/>
      <c r="C77" s="256"/>
      <c r="D77" s="256"/>
      <c r="E77" s="256"/>
      <c r="F77" s="256"/>
      <c r="G77" s="256"/>
      <c r="H77" s="257"/>
      <c r="I77" s="256"/>
      <c r="J77" s="256"/>
      <c r="K77" s="256"/>
      <c r="L77" s="256"/>
    </row>
    <row r="78" spans="1:12">
      <c r="A78" s="256"/>
      <c r="B78" s="256"/>
      <c r="C78" s="256"/>
      <c r="D78" s="256"/>
      <c r="E78" s="256"/>
      <c r="F78" s="256"/>
      <c r="G78" s="256"/>
      <c r="H78" s="257"/>
      <c r="I78" s="256"/>
      <c r="J78" s="256"/>
      <c r="K78" s="256"/>
      <c r="L78" s="256"/>
    </row>
    <row r="79" spans="1:12">
      <c r="A79" s="256"/>
      <c r="B79" s="256"/>
      <c r="C79" s="256"/>
      <c r="D79" s="256"/>
      <c r="E79" s="256"/>
      <c r="F79" s="256"/>
      <c r="G79" s="256"/>
      <c r="H79" s="257"/>
      <c r="I79" s="256"/>
      <c r="J79" s="256"/>
      <c r="K79" s="256"/>
      <c r="L79" s="256"/>
    </row>
    <row r="80" spans="1:12">
      <c r="A80" s="256"/>
      <c r="B80" s="256"/>
      <c r="C80" s="256"/>
      <c r="D80" s="256"/>
      <c r="E80" s="256"/>
      <c r="F80" s="256"/>
      <c r="G80" s="256"/>
      <c r="H80" s="257"/>
      <c r="I80" s="256"/>
      <c r="J80" s="256"/>
      <c r="K80" s="256"/>
      <c r="L80" s="256"/>
    </row>
    <row r="81" spans="1:12">
      <c r="A81" s="256"/>
      <c r="B81" s="256"/>
      <c r="C81" s="256"/>
      <c r="D81" s="256"/>
      <c r="E81" s="256"/>
      <c r="F81" s="256"/>
      <c r="G81" s="256"/>
      <c r="H81" s="257"/>
      <c r="I81" s="256"/>
      <c r="J81" s="256"/>
      <c r="K81" s="256"/>
      <c r="L81" s="256"/>
    </row>
    <row r="82" spans="1:12">
      <c r="A82" s="256"/>
      <c r="B82" s="256"/>
      <c r="C82" s="256"/>
      <c r="D82" s="256"/>
      <c r="E82" s="256"/>
      <c r="F82" s="256"/>
      <c r="G82" s="256"/>
      <c r="H82" s="257"/>
      <c r="I82" s="256"/>
      <c r="J82" s="256"/>
      <c r="K82" s="256"/>
      <c r="L82" s="256"/>
    </row>
    <row r="83" spans="1:12">
      <c r="A83" s="256"/>
      <c r="B83" s="256"/>
      <c r="C83" s="256"/>
      <c r="D83" s="256"/>
      <c r="E83" s="256"/>
      <c r="F83" s="256"/>
      <c r="G83" s="256"/>
      <c r="H83" s="257"/>
      <c r="I83" s="256"/>
      <c r="J83" s="256"/>
      <c r="K83" s="256"/>
      <c r="L83" s="256"/>
    </row>
    <row r="84" spans="1:12">
      <c r="A84" s="256"/>
      <c r="B84" s="256"/>
      <c r="C84" s="256"/>
      <c r="D84" s="256"/>
      <c r="E84" s="256"/>
      <c r="F84" s="256"/>
      <c r="G84" s="256"/>
      <c r="H84" s="257"/>
      <c r="I84" s="256"/>
      <c r="J84" s="256"/>
      <c r="K84" s="256"/>
      <c r="L84" s="256"/>
    </row>
    <row r="85" spans="1:12">
      <c r="A85" s="256"/>
      <c r="B85" s="256"/>
      <c r="C85" s="256"/>
      <c r="D85" s="256"/>
      <c r="E85" s="256"/>
      <c r="F85" s="256"/>
      <c r="G85" s="256"/>
      <c r="H85" s="257"/>
      <c r="I85" s="256"/>
      <c r="J85" s="256"/>
      <c r="K85" s="256"/>
      <c r="L85" s="256"/>
    </row>
    <row r="86" spans="1:12">
      <c r="A86" s="256"/>
      <c r="B86" s="256"/>
      <c r="C86" s="256"/>
      <c r="D86" s="256"/>
      <c r="E86" s="256"/>
      <c r="F86" s="256"/>
      <c r="G86" s="256"/>
      <c r="H86" s="257"/>
      <c r="I86" s="256"/>
      <c r="J86" s="256"/>
      <c r="K86" s="256"/>
      <c r="L86" s="256"/>
    </row>
    <row r="87" spans="1:12">
      <c r="A87" s="256"/>
      <c r="B87" s="256"/>
      <c r="C87" s="256"/>
      <c r="D87" s="256"/>
      <c r="E87" s="256"/>
      <c r="F87" s="256"/>
      <c r="G87" s="256"/>
      <c r="H87" s="257"/>
      <c r="I87" s="256"/>
      <c r="J87" s="256"/>
      <c r="K87" s="256"/>
      <c r="L87" s="256"/>
    </row>
    <row r="88" spans="1:12">
      <c r="A88" s="256"/>
      <c r="B88" s="256"/>
      <c r="C88" s="256"/>
      <c r="D88" s="256"/>
      <c r="E88" s="256"/>
      <c r="F88" s="256"/>
      <c r="G88" s="256"/>
      <c r="H88" s="257"/>
      <c r="I88" s="256"/>
      <c r="J88" s="256"/>
      <c r="K88" s="256"/>
      <c r="L88" s="256"/>
    </row>
    <row r="89" spans="1:12">
      <c r="A89" s="256"/>
      <c r="B89" s="256"/>
      <c r="C89" s="256"/>
      <c r="D89" s="256"/>
      <c r="E89" s="256"/>
      <c r="F89" s="256"/>
      <c r="G89" s="256"/>
      <c r="H89" s="257"/>
      <c r="I89" s="256"/>
      <c r="J89" s="256"/>
      <c r="K89" s="256"/>
      <c r="L89" s="256"/>
    </row>
    <row r="90" spans="1:12">
      <c r="A90" s="256"/>
      <c r="B90" s="256"/>
      <c r="C90" s="256"/>
      <c r="D90" s="256"/>
      <c r="E90" s="256"/>
      <c r="F90" s="256"/>
      <c r="G90" s="256"/>
      <c r="H90" s="257"/>
      <c r="I90" s="256"/>
      <c r="J90" s="256"/>
      <c r="K90" s="256"/>
      <c r="L90" s="256"/>
    </row>
    <row r="91" spans="1:12">
      <c r="A91" s="256"/>
      <c r="B91" s="256"/>
      <c r="C91" s="256"/>
      <c r="D91" s="256"/>
      <c r="E91" s="256"/>
      <c r="F91" s="256"/>
      <c r="G91" s="256"/>
      <c r="H91" s="257"/>
      <c r="I91" s="256"/>
      <c r="J91" s="256"/>
      <c r="K91" s="256"/>
      <c r="L91" s="256"/>
    </row>
    <row r="92" spans="1:12">
      <c r="A92" s="256"/>
      <c r="B92" s="256"/>
      <c r="C92" s="256"/>
      <c r="D92" s="256"/>
      <c r="E92" s="256"/>
      <c r="F92" s="256"/>
      <c r="G92" s="256"/>
      <c r="H92" s="257"/>
      <c r="I92" s="256"/>
      <c r="J92" s="256"/>
      <c r="K92" s="256"/>
      <c r="L92" s="256"/>
    </row>
    <row r="93" spans="1:12">
      <c r="A93" s="256"/>
      <c r="B93" s="256"/>
      <c r="C93" s="256"/>
      <c r="D93" s="256"/>
      <c r="E93" s="256"/>
      <c r="F93" s="256"/>
      <c r="G93" s="256"/>
      <c r="H93" s="257"/>
      <c r="I93" s="256"/>
      <c r="J93" s="256"/>
      <c r="K93" s="256"/>
      <c r="L93" s="256"/>
    </row>
    <row r="94" spans="1:12">
      <c r="A94" s="256"/>
      <c r="B94" s="256"/>
      <c r="C94" s="256"/>
      <c r="D94" s="256"/>
      <c r="E94" s="256"/>
      <c r="F94" s="256"/>
      <c r="G94" s="256"/>
      <c r="H94" s="257"/>
      <c r="I94" s="256"/>
      <c r="J94" s="256"/>
      <c r="K94" s="256"/>
      <c r="L94" s="256"/>
    </row>
    <row r="95" spans="1:12">
      <c r="A95" s="256"/>
      <c r="B95" s="256"/>
      <c r="C95" s="256"/>
      <c r="D95" s="256"/>
      <c r="E95" s="256"/>
      <c r="F95" s="256"/>
      <c r="G95" s="256"/>
      <c r="H95" s="257"/>
      <c r="I95" s="256"/>
      <c r="J95" s="256"/>
      <c r="K95" s="256"/>
      <c r="L95" s="256"/>
    </row>
    <row r="96" spans="1:12">
      <c r="A96" s="256"/>
      <c r="B96" s="256"/>
      <c r="C96" s="256"/>
      <c r="D96" s="256"/>
      <c r="E96" s="256"/>
      <c r="F96" s="256"/>
      <c r="G96" s="256"/>
      <c r="H96" s="257"/>
      <c r="I96" s="256"/>
      <c r="J96" s="256"/>
      <c r="K96" s="256"/>
      <c r="L96" s="256"/>
    </row>
    <row r="97" spans="1:12">
      <c r="A97" s="256"/>
      <c r="B97" s="256"/>
      <c r="C97" s="256"/>
      <c r="D97" s="256"/>
      <c r="E97" s="256"/>
      <c r="F97" s="256"/>
      <c r="G97" s="256"/>
      <c r="H97" s="257"/>
      <c r="I97" s="256"/>
      <c r="J97" s="256"/>
      <c r="K97" s="256"/>
      <c r="L97" s="256"/>
    </row>
    <row r="98" spans="1:12">
      <c r="A98" s="256"/>
      <c r="B98" s="256"/>
      <c r="C98" s="256"/>
      <c r="D98" s="256"/>
      <c r="E98" s="256"/>
      <c r="F98" s="256"/>
      <c r="G98" s="256"/>
      <c r="H98" s="257"/>
      <c r="I98" s="256"/>
      <c r="J98" s="256"/>
      <c r="K98" s="256"/>
      <c r="L98" s="256"/>
    </row>
    <row r="99" spans="1:12">
      <c r="A99" s="256"/>
      <c r="B99" s="256"/>
      <c r="C99" s="256"/>
      <c r="D99" s="256"/>
      <c r="E99" s="256"/>
      <c r="F99" s="256"/>
      <c r="G99" s="256"/>
      <c r="H99" s="257"/>
      <c r="I99" s="256"/>
      <c r="J99" s="256"/>
      <c r="K99" s="256"/>
      <c r="L99" s="256"/>
    </row>
    <row r="100" spans="1:12">
      <c r="A100" s="256"/>
      <c r="B100" s="256"/>
      <c r="C100" s="256"/>
      <c r="D100" s="256"/>
      <c r="E100" s="256"/>
      <c r="F100" s="256"/>
      <c r="G100" s="256"/>
      <c r="H100" s="257"/>
      <c r="I100" s="256"/>
      <c r="J100" s="256"/>
      <c r="K100" s="256"/>
      <c r="L100" s="256"/>
    </row>
    <row r="101" spans="1:12">
      <c r="A101" s="256"/>
      <c r="B101" s="256"/>
      <c r="C101" s="256"/>
      <c r="D101" s="256"/>
      <c r="E101" s="256"/>
      <c r="F101" s="256"/>
      <c r="G101" s="256"/>
      <c r="H101" s="257"/>
      <c r="I101" s="256"/>
      <c r="J101" s="256"/>
      <c r="K101" s="256"/>
      <c r="L101" s="256"/>
    </row>
    <row r="102" spans="1:12">
      <c r="A102" s="256"/>
      <c r="B102" s="256"/>
      <c r="C102" s="256"/>
      <c r="D102" s="256"/>
      <c r="E102" s="256"/>
      <c r="F102" s="256"/>
      <c r="G102" s="256"/>
      <c r="H102" s="257"/>
      <c r="I102" s="256"/>
      <c r="J102" s="256"/>
      <c r="K102" s="256"/>
      <c r="L102" s="256"/>
    </row>
    <row r="103" spans="1:12">
      <c r="A103" s="256"/>
      <c r="B103" s="256"/>
      <c r="C103" s="256"/>
      <c r="D103" s="256"/>
      <c r="E103" s="256"/>
      <c r="F103" s="256"/>
      <c r="G103" s="256"/>
      <c r="H103" s="257"/>
      <c r="I103" s="256"/>
      <c r="J103" s="256"/>
      <c r="K103" s="256"/>
      <c r="L103" s="256"/>
    </row>
    <row r="104" spans="1:12">
      <c r="A104" s="256"/>
      <c r="B104" s="256"/>
      <c r="C104" s="256"/>
      <c r="D104" s="256"/>
      <c r="E104" s="256"/>
      <c r="F104" s="256"/>
      <c r="G104" s="256"/>
      <c r="H104" s="257"/>
      <c r="I104" s="256"/>
      <c r="J104" s="256"/>
      <c r="K104" s="256"/>
      <c r="L104" s="256"/>
    </row>
  </sheetData>
  <sheetProtection algorithmName="SHA-512" hashValue="kXMvWuev4TpcMe3IogNlZWvbTtXIdCoWU4qpXjwE0B0BAyfH4znOG7hniK5xE2kXTCB9Bb90Cdu2iG68SazJ9Q==" saltValue="nPAyDrOPSPwWxHTSWXs1Pg==" spinCount="100000" sheet="1" objects="1" scenarios="1" formatCells="0" formatRows="0"/>
  <mergeCells count="2">
    <mergeCell ref="D20:E20"/>
    <mergeCell ref="K20:K21"/>
  </mergeCells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3C3C-F8FE-4034-9D76-EF022D7A689D}">
  <sheetPr codeName="Sheet3"/>
  <dimension ref="A1:AU55"/>
  <sheetViews>
    <sheetView topLeftCell="AC1" workbookViewId="0">
      <selection activeCell="AT3" sqref="AT3:AT33"/>
    </sheetView>
  </sheetViews>
  <sheetFormatPr defaultRowHeight="15"/>
  <cols>
    <col min="1" max="1" width="38" style="84" bestFit="1" customWidth="1"/>
    <col min="2" max="2" width="94.140625" style="84" customWidth="1"/>
    <col min="3" max="3" width="13.5703125" style="84" customWidth="1"/>
    <col min="4" max="4" width="22.7109375" style="84" bestFit="1" customWidth="1"/>
    <col min="5" max="5" width="22.7109375" style="84" customWidth="1"/>
    <col min="6" max="6" width="13.5703125" style="84" customWidth="1"/>
    <col min="7" max="7" width="24.85546875" style="84" bestFit="1" customWidth="1"/>
    <col min="8" max="9" width="13.5703125" style="84" customWidth="1"/>
    <col min="10" max="12" width="9.140625" style="84"/>
    <col min="13" max="13" width="40.140625" bestFit="1" customWidth="1"/>
    <col min="14" max="14" width="9.140625" customWidth="1"/>
    <col min="15" max="15" width="10.7109375" style="84" customWidth="1"/>
    <col min="16" max="16" width="9.140625" customWidth="1"/>
    <col min="17" max="17" width="35.7109375" customWidth="1"/>
    <col min="18" max="18" width="17.42578125" style="84" bestFit="1" customWidth="1"/>
    <col min="19" max="19" width="35.7109375" style="84" bestFit="1" customWidth="1"/>
    <col min="20" max="20" width="34.7109375" style="84" bestFit="1" customWidth="1"/>
    <col min="22" max="22" width="42.7109375" bestFit="1" customWidth="1"/>
    <col min="23" max="23" width="15.85546875" bestFit="1" customWidth="1"/>
    <col min="24" max="24" width="9.140625" style="84"/>
    <col min="25" max="25" width="43" bestFit="1" customWidth="1"/>
    <col min="26" max="26" width="12.140625" bestFit="1" customWidth="1"/>
    <col min="27" max="27" width="43" style="84" bestFit="1" customWidth="1"/>
    <col min="28" max="28" width="10.140625" bestFit="1" customWidth="1"/>
    <col min="29" max="29" width="10.5703125" customWidth="1"/>
    <col min="31" max="31" width="24.140625" bestFit="1" customWidth="1"/>
    <col min="43" max="43" width="11.140625" customWidth="1"/>
  </cols>
  <sheetData>
    <row r="1" spans="1:47">
      <c r="A1" s="87" t="s">
        <v>82</v>
      </c>
      <c r="B1" s="87"/>
      <c r="C1" s="87"/>
      <c r="D1" s="87" t="s">
        <v>38</v>
      </c>
      <c r="E1" s="87" t="s">
        <v>40</v>
      </c>
      <c r="F1" s="87"/>
      <c r="G1" s="87" t="s">
        <v>50</v>
      </c>
      <c r="H1" s="87" t="s">
        <v>55</v>
      </c>
      <c r="I1" s="87"/>
      <c r="M1" s="79" t="s">
        <v>17</v>
      </c>
      <c r="Q1" s="80" t="s">
        <v>18</v>
      </c>
      <c r="R1" s="84" t="s">
        <v>27</v>
      </c>
      <c r="S1" s="81" t="s">
        <v>28</v>
      </c>
      <c r="T1" s="82" t="s">
        <v>29</v>
      </c>
      <c r="V1" s="80" t="s">
        <v>73</v>
      </c>
      <c r="W1" s="78" t="s">
        <v>67</v>
      </c>
      <c r="X1" s="85"/>
      <c r="Y1" s="80" t="s">
        <v>74</v>
      </c>
      <c r="Z1" s="81"/>
      <c r="AA1" s="80" t="s">
        <v>76</v>
      </c>
      <c r="AB1" s="80" t="s">
        <v>40</v>
      </c>
      <c r="AC1" s="82"/>
      <c r="AE1" s="79" t="s">
        <v>88</v>
      </c>
      <c r="AI1" t="s">
        <v>297</v>
      </c>
      <c r="AL1" s="84" t="s">
        <v>228</v>
      </c>
      <c r="AM1" s="84"/>
      <c r="AN1" s="84"/>
      <c r="AQ1" t="s">
        <v>311</v>
      </c>
    </row>
    <row r="2" spans="1:47">
      <c r="A2" s="84" t="s">
        <v>83</v>
      </c>
      <c r="B2" s="84" t="s">
        <v>37</v>
      </c>
      <c r="D2" s="84" t="s">
        <v>32</v>
      </c>
      <c r="E2" s="84" t="s">
        <v>32</v>
      </c>
      <c r="G2" s="84" t="s">
        <v>51</v>
      </c>
      <c r="H2" s="84">
        <v>1</v>
      </c>
      <c r="M2" t="s">
        <v>27</v>
      </c>
      <c r="N2" t="s">
        <v>28</v>
      </c>
      <c r="O2" s="84" t="s">
        <v>29</v>
      </c>
      <c r="Q2" s="83" t="s">
        <v>19</v>
      </c>
      <c r="R2" s="84" t="s">
        <v>19</v>
      </c>
      <c r="S2" s="84" t="s">
        <v>101</v>
      </c>
      <c r="T2" s="84" t="s">
        <v>23</v>
      </c>
      <c r="V2" s="93" t="s">
        <v>25</v>
      </c>
      <c r="W2" t="s">
        <v>32</v>
      </c>
      <c r="Y2" s="84" t="s">
        <v>25</v>
      </c>
      <c r="AA2" s="84" t="s">
        <v>25</v>
      </c>
      <c r="AB2" s="84" t="s">
        <v>32</v>
      </c>
      <c r="AE2" s="95" t="s">
        <v>89</v>
      </c>
      <c r="AF2" s="95">
        <v>1</v>
      </c>
      <c r="AL2" s="84" t="s">
        <v>229</v>
      </c>
      <c r="AM2" s="144">
        <v>2.8</v>
      </c>
      <c r="AN2" s="84"/>
      <c r="AQ2" t="s">
        <v>312</v>
      </c>
      <c r="AR2" t="s">
        <v>27</v>
      </c>
      <c r="AS2" t="s">
        <v>28</v>
      </c>
      <c r="AT2" t="s">
        <v>29</v>
      </c>
      <c r="AU2" s="84" t="s">
        <v>312</v>
      </c>
    </row>
    <row r="3" spans="1:47" ht="30">
      <c r="A3" s="84" t="s">
        <v>84</v>
      </c>
      <c r="B3" s="88" t="s">
        <v>35</v>
      </c>
      <c r="D3" s="84" t="s">
        <v>39</v>
      </c>
      <c r="E3" s="84" t="s">
        <v>44</v>
      </c>
      <c r="G3" s="84" t="s">
        <v>52</v>
      </c>
      <c r="H3" s="84">
        <v>1000</v>
      </c>
      <c r="M3" s="95">
        <v>1</v>
      </c>
      <c r="N3" s="95">
        <v>2</v>
      </c>
      <c r="O3" s="95">
        <v>3</v>
      </c>
      <c r="Q3" s="83" t="s">
        <v>20</v>
      </c>
      <c r="R3" s="84" t="s">
        <v>20</v>
      </c>
      <c r="S3" s="84" t="s">
        <v>21</v>
      </c>
      <c r="T3" s="84" t="s">
        <v>100</v>
      </c>
      <c r="V3" s="93" t="s">
        <v>26</v>
      </c>
      <c r="W3" s="84" t="s">
        <v>32</v>
      </c>
      <c r="Y3" s="84" t="s">
        <v>26</v>
      </c>
      <c r="AA3" s="84" t="s">
        <v>26</v>
      </c>
      <c r="AB3" s="84" t="s">
        <v>32</v>
      </c>
      <c r="AE3" s="95" t="s">
        <v>90</v>
      </c>
      <c r="AF3" s="95">
        <v>10</v>
      </c>
      <c r="AL3" s="84" t="s">
        <v>230</v>
      </c>
      <c r="AM3" s="144">
        <v>1</v>
      </c>
      <c r="AN3" s="84"/>
      <c r="AQ3" s="302">
        <v>0</v>
      </c>
      <c r="AR3">
        <v>0</v>
      </c>
      <c r="AS3" s="355">
        <v>0</v>
      </c>
      <c r="AT3" s="355">
        <v>0</v>
      </c>
      <c r="AU3" s="302">
        <f>AQ3</f>
        <v>0</v>
      </c>
    </row>
    <row r="4" spans="1:47">
      <c r="A4" s="84" t="s">
        <v>85</v>
      </c>
      <c r="B4" s="84" t="s">
        <v>36</v>
      </c>
      <c r="E4" s="84" t="s">
        <v>41</v>
      </c>
      <c r="G4" s="84" t="s">
        <v>53</v>
      </c>
      <c r="H4" s="84">
        <v>0.29308323563892147</v>
      </c>
      <c r="M4" t="s">
        <v>127</v>
      </c>
      <c r="N4" t="s">
        <v>130</v>
      </c>
      <c r="O4" s="84" t="s">
        <v>130</v>
      </c>
      <c r="Q4" s="84" t="s">
        <v>102</v>
      </c>
      <c r="R4" s="84" t="s">
        <v>102</v>
      </c>
      <c r="S4" s="84" t="s">
        <v>102</v>
      </c>
      <c r="T4" s="84" t="s">
        <v>24</v>
      </c>
      <c r="V4" s="93" t="s">
        <v>33</v>
      </c>
      <c r="W4" t="s">
        <v>39</v>
      </c>
      <c r="Y4" s="84" t="s">
        <v>77</v>
      </c>
      <c r="AA4" s="84" t="s">
        <v>77</v>
      </c>
      <c r="AB4" s="84" t="s">
        <v>32</v>
      </c>
      <c r="AE4" s="95">
        <v>10</v>
      </c>
      <c r="AF4" s="95">
        <v>10</v>
      </c>
      <c r="AL4" s="84" t="s">
        <v>43</v>
      </c>
      <c r="AM4" s="144">
        <v>1.05</v>
      </c>
      <c r="AN4" s="84"/>
      <c r="AQ4" s="302">
        <v>0.1</v>
      </c>
      <c r="AR4" s="353">
        <v>1.5E-3</v>
      </c>
      <c r="AS4" s="355">
        <f>AQ4/10-0.0005</f>
        <v>9.4999999999999998E-3</v>
      </c>
      <c r="AT4" s="355">
        <v>3.4499999999999996E-2</v>
      </c>
      <c r="AU4" s="302">
        <f>AQ4</f>
        <v>0.1</v>
      </c>
    </row>
    <row r="5" spans="1:47">
      <c r="E5" s="84" t="s">
        <v>42</v>
      </c>
      <c r="G5" s="84" t="s">
        <v>54</v>
      </c>
      <c r="H5" s="84">
        <v>29.308323563892145</v>
      </c>
      <c r="M5" t="s">
        <v>128</v>
      </c>
      <c r="N5" t="s">
        <v>129</v>
      </c>
      <c r="O5" s="84" t="s">
        <v>129</v>
      </c>
      <c r="Q5" s="84" t="s">
        <v>101</v>
      </c>
      <c r="R5" s="84" t="s">
        <v>99</v>
      </c>
      <c r="S5" s="84" t="s">
        <v>24</v>
      </c>
      <c r="T5" s="84" t="s">
        <v>101</v>
      </c>
      <c r="V5" s="93" t="s">
        <v>68</v>
      </c>
      <c r="W5" t="s">
        <v>39</v>
      </c>
      <c r="Y5" t="s">
        <v>78</v>
      </c>
      <c r="AA5" s="84" t="s">
        <v>78</v>
      </c>
      <c r="AB5" s="84" t="s">
        <v>32</v>
      </c>
      <c r="AE5" s="95">
        <v>9</v>
      </c>
      <c r="AF5" s="95">
        <v>9</v>
      </c>
      <c r="AL5" s="84"/>
      <c r="AM5" s="84"/>
      <c r="AN5" s="84"/>
      <c r="AQ5" s="302">
        <f>AQ4+0.1</f>
        <v>0.2</v>
      </c>
      <c r="AR5" s="353">
        <v>3.5000000000000001E-3</v>
      </c>
      <c r="AS5" s="355">
        <f t="shared" ref="AS5:AS53" si="0">AQ5/10-0.0005</f>
        <v>1.95E-2</v>
      </c>
      <c r="AT5" s="355">
        <v>6.9499999999999992E-2</v>
      </c>
      <c r="AU5" s="302">
        <f t="shared" ref="AU5:AU53" si="1">AQ5</f>
        <v>0.2</v>
      </c>
    </row>
    <row r="6" spans="1:47">
      <c r="E6" s="84" t="s">
        <v>45</v>
      </c>
      <c r="G6" s="84" t="s">
        <v>56</v>
      </c>
      <c r="H6" s="84">
        <v>293.08323563892145</v>
      </c>
      <c r="M6" t="s">
        <v>22</v>
      </c>
      <c r="N6" t="s">
        <v>22</v>
      </c>
      <c r="O6" s="84" t="s">
        <v>22</v>
      </c>
      <c r="Q6" s="83" t="s">
        <v>21</v>
      </c>
      <c r="S6" s="84" t="s">
        <v>23</v>
      </c>
      <c r="T6" s="84" t="s">
        <v>21</v>
      </c>
      <c r="V6" s="93" t="s">
        <v>69</v>
      </c>
      <c r="W6" t="s">
        <v>39</v>
      </c>
      <c r="Y6" t="s">
        <v>34</v>
      </c>
      <c r="AA6" s="84" t="s">
        <v>34</v>
      </c>
      <c r="AB6" s="84" t="s">
        <v>32</v>
      </c>
      <c r="AE6" s="95">
        <v>8</v>
      </c>
      <c r="AF6" s="95">
        <v>8</v>
      </c>
      <c r="AL6" s="84"/>
      <c r="AM6" s="84"/>
      <c r="AN6" s="84"/>
      <c r="AQ6" s="302">
        <f t="shared" ref="AQ6:AQ53" si="2">AQ5+0.1</f>
        <v>0.30000000000000004</v>
      </c>
      <c r="AR6" s="353">
        <v>5.5000000000000014E-3</v>
      </c>
      <c r="AS6" s="355">
        <f t="shared" si="0"/>
        <v>2.9500000000000005E-2</v>
      </c>
      <c r="AT6" s="355">
        <v>0.10450000000000001</v>
      </c>
      <c r="AU6" s="302">
        <f t="shared" si="1"/>
        <v>0.30000000000000004</v>
      </c>
    </row>
    <row r="7" spans="1:47">
      <c r="G7" s="84" t="s">
        <v>57</v>
      </c>
      <c r="H7" s="84">
        <v>0.2778429073856975</v>
      </c>
      <c r="Q7" s="83" t="s">
        <v>24</v>
      </c>
      <c r="S7" s="84" t="s">
        <v>100</v>
      </c>
      <c r="T7" s="84" t="s">
        <v>102</v>
      </c>
      <c r="V7" s="93" t="s">
        <v>70</v>
      </c>
      <c r="W7" t="s">
        <v>39</v>
      </c>
      <c r="Y7" t="s">
        <v>31</v>
      </c>
      <c r="AA7" s="84" t="s">
        <v>31</v>
      </c>
      <c r="AB7" s="84" t="s">
        <v>32</v>
      </c>
      <c r="AE7" s="95">
        <v>7</v>
      </c>
      <c r="AF7" s="95">
        <v>7</v>
      </c>
      <c r="AL7" s="84" t="s">
        <v>154</v>
      </c>
      <c r="AM7" s="84" t="s">
        <v>231</v>
      </c>
      <c r="AN7" s="145">
        <f>CONVERT(1,"ft","m")^2</f>
        <v>9.2903040000000006E-2</v>
      </c>
      <c r="AQ7" s="302">
        <f t="shared" si="2"/>
        <v>0.4</v>
      </c>
      <c r="AR7" s="353">
        <v>7.4999999999999997E-3</v>
      </c>
      <c r="AS7" s="355">
        <f t="shared" si="0"/>
        <v>3.95E-2</v>
      </c>
      <c r="AT7" s="355">
        <v>0.13949999999999999</v>
      </c>
      <c r="AU7" s="302">
        <f t="shared" si="1"/>
        <v>0.4</v>
      </c>
    </row>
    <row r="8" spans="1:47">
      <c r="G8" s="84" t="s">
        <v>58</v>
      </c>
      <c r="H8" s="84">
        <v>3.5169988276670576</v>
      </c>
      <c r="Q8" s="84" t="s">
        <v>23</v>
      </c>
      <c r="S8" s="84" t="s">
        <v>20</v>
      </c>
      <c r="T8" s="84" t="s">
        <v>20</v>
      </c>
      <c r="V8" s="93" t="s">
        <v>71</v>
      </c>
      <c r="W8" t="s">
        <v>39</v>
      </c>
      <c r="Y8" s="84" t="s">
        <v>79</v>
      </c>
      <c r="AA8" s="84" t="s">
        <v>79</v>
      </c>
      <c r="AB8" s="84" t="s">
        <v>32</v>
      </c>
      <c r="AE8" s="95">
        <v>6</v>
      </c>
      <c r="AF8" s="95">
        <v>6</v>
      </c>
      <c r="AL8" s="84"/>
      <c r="AM8" s="84" t="s">
        <v>232</v>
      </c>
      <c r="AN8" s="146">
        <f>1/3.412</f>
        <v>0.29308323563892147</v>
      </c>
      <c r="AQ8" s="302">
        <f t="shared" si="2"/>
        <v>0.5</v>
      </c>
      <c r="AR8" s="353">
        <v>9.4999999999999998E-3</v>
      </c>
      <c r="AS8" s="355">
        <f t="shared" si="0"/>
        <v>4.9500000000000002E-2</v>
      </c>
      <c r="AT8" s="355">
        <v>0.17449999999999999</v>
      </c>
      <c r="AU8" s="302">
        <f t="shared" si="1"/>
        <v>0.5</v>
      </c>
    </row>
    <row r="9" spans="1:47">
      <c r="Q9" s="83" t="s">
        <v>100</v>
      </c>
      <c r="S9" s="84" t="s">
        <v>19</v>
      </c>
      <c r="T9" s="84" t="s">
        <v>19</v>
      </c>
      <c r="V9" s="93" t="s">
        <v>65</v>
      </c>
      <c r="W9" t="s">
        <v>39</v>
      </c>
      <c r="Y9" s="84" t="s">
        <v>75</v>
      </c>
      <c r="AA9" s="84" t="s">
        <v>324</v>
      </c>
      <c r="AB9" t="s">
        <v>32</v>
      </c>
      <c r="AE9" s="95">
        <v>5</v>
      </c>
      <c r="AF9" s="95">
        <v>5</v>
      </c>
      <c r="AL9" s="84"/>
      <c r="AM9" s="84"/>
      <c r="AN9" s="84"/>
      <c r="AQ9" s="302">
        <f t="shared" si="2"/>
        <v>0.6</v>
      </c>
      <c r="AR9" s="353">
        <v>1.15E-2</v>
      </c>
      <c r="AS9" s="355">
        <f t="shared" si="0"/>
        <v>5.9499999999999997E-2</v>
      </c>
      <c r="AT9" s="355">
        <v>0.20949999999999999</v>
      </c>
      <c r="AU9" s="302">
        <f t="shared" si="1"/>
        <v>0.6</v>
      </c>
    </row>
    <row r="10" spans="1:47">
      <c r="G10" s="84" t="str">
        <f>IF(IP_SI_Units="IP Units","kWh","kWh")</f>
        <v>kWh</v>
      </c>
      <c r="H10" s="84" t="s">
        <v>104</v>
      </c>
      <c r="Q10" s="83" t="s">
        <v>22</v>
      </c>
      <c r="S10" s="84" t="s">
        <v>22</v>
      </c>
      <c r="T10" s="84" t="s">
        <v>22</v>
      </c>
      <c r="V10" s="93" t="s">
        <v>72</v>
      </c>
      <c r="W10" t="s">
        <v>32</v>
      </c>
      <c r="AA10" s="84" t="s">
        <v>80</v>
      </c>
      <c r="AB10" t="str">
        <f>E3</f>
        <v>Fossil Fuel</v>
      </c>
      <c r="AE10" s="95">
        <v>4</v>
      </c>
      <c r="AF10" s="95">
        <v>4</v>
      </c>
      <c r="AL10" s="84"/>
      <c r="AM10" s="84" t="s">
        <v>233</v>
      </c>
      <c r="AN10" s="147">
        <f>AN8/AN7</f>
        <v>3.1547216930567767</v>
      </c>
      <c r="AQ10" s="302">
        <f t="shared" si="2"/>
        <v>0.7</v>
      </c>
      <c r="AR10" s="353">
        <v>1.3499999999999998E-2</v>
      </c>
      <c r="AS10" s="355">
        <f t="shared" si="0"/>
        <v>6.9499999999999992E-2</v>
      </c>
      <c r="AT10" s="355">
        <v>0.24449999999999997</v>
      </c>
      <c r="AU10" s="302">
        <f t="shared" si="1"/>
        <v>0.7</v>
      </c>
    </row>
    <row r="11" spans="1:47">
      <c r="G11" s="84" t="str">
        <f>IF(IP_SI_Units="IP Units","therm","kWh")</f>
        <v>kWh</v>
      </c>
      <c r="H11" s="84" t="s">
        <v>105</v>
      </c>
      <c r="V11" s="93" t="s">
        <v>62</v>
      </c>
      <c r="W11" t="s">
        <v>32</v>
      </c>
      <c r="AA11" s="84" t="s">
        <v>75</v>
      </c>
      <c r="AE11" s="95">
        <v>3</v>
      </c>
      <c r="AF11" s="95">
        <v>3</v>
      </c>
      <c r="AQ11" s="302">
        <f t="shared" si="2"/>
        <v>0.79999999999999993</v>
      </c>
      <c r="AR11" s="353">
        <v>1.55E-2</v>
      </c>
      <c r="AS11" s="355">
        <f t="shared" si="0"/>
        <v>7.9499999999999987E-2</v>
      </c>
      <c r="AT11" s="355">
        <v>0.27949999999999997</v>
      </c>
      <c r="AU11" s="302">
        <f t="shared" si="1"/>
        <v>0.79999999999999993</v>
      </c>
    </row>
    <row r="12" spans="1:47">
      <c r="G12" s="84" t="str">
        <f>IF(IP_SI_Units="IP Units","Ton Hours","kWh")</f>
        <v>kWh</v>
      </c>
      <c r="H12" s="84" t="s">
        <v>107</v>
      </c>
      <c r="V12" s="93" t="s">
        <v>63</v>
      </c>
      <c r="W12" t="s">
        <v>32</v>
      </c>
      <c r="AE12" s="95">
        <v>2</v>
      </c>
      <c r="AF12" s="95">
        <v>2</v>
      </c>
      <c r="AQ12" s="302">
        <f t="shared" si="2"/>
        <v>0.89999999999999991</v>
      </c>
      <c r="AR12" s="353">
        <v>1.7499999999999998E-2</v>
      </c>
      <c r="AS12" s="355">
        <f t="shared" si="0"/>
        <v>8.9499999999999996E-2</v>
      </c>
      <c r="AT12" s="355">
        <v>0.31449999999999995</v>
      </c>
      <c r="AU12" s="302">
        <f t="shared" si="1"/>
        <v>0.89999999999999991</v>
      </c>
    </row>
    <row r="13" spans="1:47">
      <c r="G13" s="84" t="str">
        <f>IF(IP_SI_Units="IP Units","kBtu","kWh")</f>
        <v>kWh</v>
      </c>
      <c r="H13" s="84" t="s">
        <v>106</v>
      </c>
      <c r="V13" s="93" t="s">
        <v>64</v>
      </c>
      <c r="W13" t="s">
        <v>32</v>
      </c>
      <c r="AE13" s="95">
        <v>1</v>
      </c>
      <c r="AF13" s="95">
        <v>1</v>
      </c>
      <c r="AQ13" s="303">
        <f t="shared" si="2"/>
        <v>0.99999999999999989</v>
      </c>
      <c r="AR13" s="354">
        <f>2%-0.0005</f>
        <v>1.95E-2</v>
      </c>
      <c r="AS13" s="354">
        <f t="shared" si="0"/>
        <v>9.9499999999999991E-2</v>
      </c>
      <c r="AT13" s="354">
        <f>35%-0.0005</f>
        <v>0.34949999999999998</v>
      </c>
      <c r="AU13" s="303">
        <f t="shared" si="1"/>
        <v>0.99999999999999989</v>
      </c>
    </row>
    <row r="14" spans="1:47">
      <c r="V14" s="93" t="s">
        <v>66</v>
      </c>
      <c r="W14" t="s">
        <v>32</v>
      </c>
      <c r="AE14" s="95" t="s">
        <v>91</v>
      </c>
      <c r="AF14" s="95">
        <v>10</v>
      </c>
      <c r="AQ14" s="302">
        <f t="shared" si="2"/>
        <v>1.0999999999999999</v>
      </c>
      <c r="AR14" s="355">
        <v>2.2499999999999999E-2</v>
      </c>
      <c r="AS14" s="355">
        <f t="shared" si="0"/>
        <v>0.10949999999999999</v>
      </c>
      <c r="AT14" s="355">
        <v>0.38449999999999995</v>
      </c>
      <c r="AU14" s="302">
        <f t="shared" si="1"/>
        <v>1.0999999999999999</v>
      </c>
    </row>
    <row r="15" spans="1:47">
      <c r="G15" s="84" t="str">
        <f>IF(IP_SI_Units="IP Units","Btu x 10^6","MWh")</f>
        <v>MWh</v>
      </c>
      <c r="H15" s="84" t="s">
        <v>108</v>
      </c>
      <c r="V15" s="94" t="s">
        <v>22</v>
      </c>
      <c r="AQ15" s="302">
        <f t="shared" si="2"/>
        <v>1.2</v>
      </c>
      <c r="AR15" s="355">
        <v>2.5499999999999998E-2</v>
      </c>
      <c r="AS15" s="355">
        <f t="shared" si="0"/>
        <v>0.1195</v>
      </c>
      <c r="AT15" s="355">
        <v>0.41949999999999998</v>
      </c>
      <c r="AU15" s="302">
        <f t="shared" si="1"/>
        <v>1.2</v>
      </c>
    </row>
    <row r="16" spans="1:47">
      <c r="AQ16" s="302">
        <f t="shared" si="2"/>
        <v>1.3</v>
      </c>
      <c r="AR16" s="355">
        <v>2.8500000000000001E-2</v>
      </c>
      <c r="AS16" s="355">
        <f t="shared" si="0"/>
        <v>0.1295</v>
      </c>
      <c r="AT16" s="355">
        <v>0.45449999999999996</v>
      </c>
      <c r="AU16" s="302">
        <f t="shared" si="1"/>
        <v>1.3</v>
      </c>
    </row>
    <row r="17" spans="22:47">
      <c r="AQ17" s="302">
        <f t="shared" si="2"/>
        <v>1.4000000000000001</v>
      </c>
      <c r="AR17" s="355">
        <v>3.15E-2</v>
      </c>
      <c r="AS17" s="355">
        <f t="shared" si="0"/>
        <v>0.13950000000000001</v>
      </c>
      <c r="AT17" s="355">
        <v>0.48949999999999999</v>
      </c>
      <c r="AU17" s="302">
        <f t="shared" si="1"/>
        <v>1.4000000000000001</v>
      </c>
    </row>
    <row r="18" spans="22:47">
      <c r="AQ18" s="302">
        <f t="shared" si="2"/>
        <v>1.5000000000000002</v>
      </c>
      <c r="AR18" s="355">
        <v>3.4500000000000003E-2</v>
      </c>
      <c r="AS18" s="355">
        <f t="shared" si="0"/>
        <v>0.14950000000000002</v>
      </c>
      <c r="AT18" s="355">
        <v>0.52450000000000008</v>
      </c>
      <c r="AU18" s="302">
        <f t="shared" si="1"/>
        <v>1.5000000000000002</v>
      </c>
    </row>
    <row r="19" spans="22:47">
      <c r="AM19" s="292">
        <v>0.05</v>
      </c>
      <c r="AN19" s="292">
        <f>AS5+10%</f>
        <v>0.11950000000000001</v>
      </c>
      <c r="AO19" s="292">
        <v>0.7</v>
      </c>
      <c r="AP19" s="84">
        <v>2</v>
      </c>
      <c r="AQ19" s="302">
        <f t="shared" si="2"/>
        <v>1.6000000000000003</v>
      </c>
      <c r="AR19" s="355">
        <v>3.7499999999999999E-2</v>
      </c>
      <c r="AS19" s="355">
        <f t="shared" si="0"/>
        <v>0.15950000000000003</v>
      </c>
      <c r="AT19" s="355">
        <v>0.55950000000000011</v>
      </c>
      <c r="AU19" s="302">
        <f t="shared" si="1"/>
        <v>1.6000000000000003</v>
      </c>
    </row>
    <row r="20" spans="22:47">
      <c r="V20" s="78" t="s">
        <v>98</v>
      </c>
      <c r="AM20" s="292">
        <v>0.1</v>
      </c>
      <c r="AN20" s="292">
        <f t="shared" ref="AN20:AN23" si="3">AN19+10%</f>
        <v>0.21950000000000003</v>
      </c>
      <c r="AO20" s="292">
        <v>1</v>
      </c>
      <c r="AP20" s="84">
        <v>3</v>
      </c>
      <c r="AQ20" s="302">
        <f t="shared" si="2"/>
        <v>1.7000000000000004</v>
      </c>
      <c r="AR20" s="355">
        <v>4.0500000000000001E-2</v>
      </c>
      <c r="AS20" s="355">
        <f t="shared" si="0"/>
        <v>0.16950000000000004</v>
      </c>
      <c r="AT20" s="355">
        <v>0.59450000000000014</v>
      </c>
      <c r="AU20" s="302">
        <f t="shared" si="1"/>
        <v>1.7000000000000004</v>
      </c>
    </row>
    <row r="21" spans="22:47">
      <c r="V21" s="93" t="s">
        <v>25</v>
      </c>
      <c r="W21" s="84" t="s">
        <v>32</v>
      </c>
      <c r="AM21" s="292">
        <v>0.15</v>
      </c>
      <c r="AN21" s="292">
        <f t="shared" si="3"/>
        <v>0.31950000000000001</v>
      </c>
      <c r="AP21" s="84">
        <v>4</v>
      </c>
      <c r="AQ21" s="302">
        <f t="shared" si="2"/>
        <v>1.8000000000000005</v>
      </c>
      <c r="AR21" s="355">
        <v>4.3499999999999997E-2</v>
      </c>
      <c r="AS21" s="355">
        <f t="shared" si="0"/>
        <v>0.17950000000000005</v>
      </c>
      <c r="AT21" s="355">
        <v>0.62950000000000017</v>
      </c>
      <c r="AU21" s="302">
        <f t="shared" si="1"/>
        <v>1.8000000000000005</v>
      </c>
    </row>
    <row r="22" spans="22:47">
      <c r="V22" s="93" t="s">
        <v>26</v>
      </c>
      <c r="W22" s="84" t="s">
        <v>32</v>
      </c>
      <c r="AM22" s="292">
        <v>0.2</v>
      </c>
      <c r="AN22" s="292">
        <f t="shared" si="3"/>
        <v>0.41949999999999998</v>
      </c>
      <c r="AP22" s="84">
        <v>5</v>
      </c>
      <c r="AQ22" s="302">
        <f t="shared" si="2"/>
        <v>1.9000000000000006</v>
      </c>
      <c r="AR22" s="355">
        <v>4.65E-2</v>
      </c>
      <c r="AS22" s="355">
        <f t="shared" si="0"/>
        <v>0.18950000000000006</v>
      </c>
      <c r="AT22" s="355">
        <v>0.6645000000000002</v>
      </c>
      <c r="AU22" s="302">
        <f t="shared" si="1"/>
        <v>1.9000000000000006</v>
      </c>
    </row>
    <row r="23" spans="22:47">
      <c r="V23" s="93" t="s">
        <v>33</v>
      </c>
      <c r="W23" s="84" t="s">
        <v>39</v>
      </c>
      <c r="AM23" s="292">
        <v>0.25</v>
      </c>
      <c r="AN23" s="292">
        <f t="shared" si="3"/>
        <v>0.51949999999999996</v>
      </c>
      <c r="AP23" s="84" t="s">
        <v>313</v>
      </c>
      <c r="AQ23" s="303">
        <f t="shared" si="2"/>
        <v>2.0000000000000004</v>
      </c>
      <c r="AR23" s="354">
        <f>5%-0.0005</f>
        <v>4.9500000000000002E-2</v>
      </c>
      <c r="AS23" s="354">
        <f t="shared" si="0"/>
        <v>0.19950000000000004</v>
      </c>
      <c r="AT23" s="354">
        <f>70%-0.0005</f>
        <v>0.69950000000000001</v>
      </c>
      <c r="AU23" s="303">
        <f t="shared" si="1"/>
        <v>2.0000000000000004</v>
      </c>
    </row>
    <row r="24" spans="22:47">
      <c r="V24" s="93" t="s">
        <v>68</v>
      </c>
      <c r="W24" s="84" t="s">
        <v>39</v>
      </c>
      <c r="AQ24" s="302">
        <f t="shared" si="2"/>
        <v>2.1000000000000005</v>
      </c>
      <c r="AR24" s="355">
        <f>AR23+0.5%</f>
        <v>5.45E-2</v>
      </c>
      <c r="AS24" s="355">
        <f t="shared" si="0"/>
        <v>0.20950000000000005</v>
      </c>
      <c r="AT24" s="353">
        <v>0.73450000000000015</v>
      </c>
      <c r="AU24" s="302">
        <f t="shared" si="1"/>
        <v>2.1000000000000005</v>
      </c>
    </row>
    <row r="25" spans="22:47">
      <c r="V25" s="93" t="s">
        <v>69</v>
      </c>
      <c r="W25" s="84" t="s">
        <v>39</v>
      </c>
      <c r="AQ25" s="302">
        <f t="shared" si="2"/>
        <v>2.2000000000000006</v>
      </c>
      <c r="AR25" s="355">
        <f t="shared" ref="AR25:AR53" si="4">AR24+0.5%</f>
        <v>5.9499999999999997E-2</v>
      </c>
      <c r="AS25" s="355">
        <f t="shared" si="0"/>
        <v>0.21950000000000006</v>
      </c>
      <c r="AT25" s="353">
        <v>0.76950000000000018</v>
      </c>
      <c r="AU25" s="302">
        <f t="shared" si="1"/>
        <v>2.2000000000000006</v>
      </c>
    </row>
    <row r="26" spans="22:47">
      <c r="V26" s="93" t="s">
        <v>70</v>
      </c>
      <c r="W26" s="84" t="s">
        <v>39</v>
      </c>
      <c r="AQ26" s="302">
        <f t="shared" si="2"/>
        <v>2.3000000000000007</v>
      </c>
      <c r="AR26" s="355">
        <f t="shared" si="4"/>
        <v>6.4500000000000002E-2</v>
      </c>
      <c r="AS26" s="355">
        <f t="shared" si="0"/>
        <v>0.22950000000000007</v>
      </c>
      <c r="AT26" s="353">
        <v>0.80450000000000021</v>
      </c>
      <c r="AU26" s="302">
        <f t="shared" si="1"/>
        <v>2.3000000000000007</v>
      </c>
    </row>
    <row r="27" spans="22:47">
      <c r="V27" s="93" t="s">
        <v>71</v>
      </c>
      <c r="W27" s="84" t="s">
        <v>39</v>
      </c>
      <c r="AQ27" s="302">
        <f t="shared" si="2"/>
        <v>2.4000000000000008</v>
      </c>
      <c r="AR27" s="355">
        <f t="shared" si="4"/>
        <v>6.9500000000000006E-2</v>
      </c>
      <c r="AS27" s="355">
        <f t="shared" si="0"/>
        <v>0.23950000000000007</v>
      </c>
      <c r="AT27" s="353">
        <v>0.83950000000000025</v>
      </c>
      <c r="AU27" s="302">
        <f t="shared" si="1"/>
        <v>2.4000000000000008</v>
      </c>
    </row>
    <row r="28" spans="22:47">
      <c r="V28" s="93" t="s">
        <v>65</v>
      </c>
      <c r="W28" s="84" t="s">
        <v>39</v>
      </c>
      <c r="AQ28" s="302">
        <f t="shared" si="2"/>
        <v>2.5000000000000009</v>
      </c>
      <c r="AR28" s="355">
        <f t="shared" si="4"/>
        <v>7.4500000000000011E-2</v>
      </c>
      <c r="AS28" s="355">
        <f t="shared" si="0"/>
        <v>0.24950000000000011</v>
      </c>
      <c r="AT28" s="353">
        <v>0.87450000000000028</v>
      </c>
      <c r="AU28" s="302">
        <f t="shared" si="1"/>
        <v>2.5000000000000009</v>
      </c>
    </row>
    <row r="29" spans="22:47">
      <c r="V29" s="93" t="s">
        <v>72</v>
      </c>
      <c r="W29" s="84" t="s">
        <v>32</v>
      </c>
      <c r="AQ29" s="302">
        <f t="shared" si="2"/>
        <v>2.600000000000001</v>
      </c>
      <c r="AR29" s="355">
        <f t="shared" si="4"/>
        <v>7.9500000000000015E-2</v>
      </c>
      <c r="AS29" s="355">
        <f t="shared" si="0"/>
        <v>0.25950000000000012</v>
      </c>
      <c r="AT29" s="353">
        <v>0.90950000000000031</v>
      </c>
      <c r="AU29" s="302">
        <f t="shared" si="1"/>
        <v>2.600000000000001</v>
      </c>
    </row>
    <row r="30" spans="22:47">
      <c r="V30" s="93" t="s">
        <v>62</v>
      </c>
      <c r="W30" s="84" t="s">
        <v>32</v>
      </c>
      <c r="AQ30" s="302">
        <f t="shared" si="2"/>
        <v>2.7000000000000011</v>
      </c>
      <c r="AR30" s="355">
        <f t="shared" si="4"/>
        <v>8.450000000000002E-2</v>
      </c>
      <c r="AS30" s="355">
        <f t="shared" si="0"/>
        <v>0.26950000000000013</v>
      </c>
      <c r="AT30" s="353">
        <v>0.94450000000000034</v>
      </c>
      <c r="AU30" s="302">
        <f t="shared" si="1"/>
        <v>2.7000000000000011</v>
      </c>
    </row>
    <row r="31" spans="22:47">
      <c r="V31" s="93" t="s">
        <v>63</v>
      </c>
      <c r="W31" s="84" t="s">
        <v>32</v>
      </c>
      <c r="AQ31" s="302">
        <f t="shared" si="2"/>
        <v>2.8000000000000012</v>
      </c>
      <c r="AR31" s="355">
        <f t="shared" si="4"/>
        <v>8.9500000000000024E-2</v>
      </c>
      <c r="AS31" s="355">
        <f t="shared" si="0"/>
        <v>0.27950000000000014</v>
      </c>
      <c r="AT31" s="353">
        <v>0.97950000000000037</v>
      </c>
      <c r="AU31" s="302">
        <f t="shared" si="1"/>
        <v>2.8000000000000012</v>
      </c>
    </row>
    <row r="32" spans="22:47">
      <c r="V32" s="93" t="s">
        <v>64</v>
      </c>
      <c r="W32" s="84" t="s">
        <v>32</v>
      </c>
      <c r="AQ32" s="302">
        <f t="shared" si="2"/>
        <v>2.9000000000000012</v>
      </c>
      <c r="AR32" s="355">
        <f t="shared" si="4"/>
        <v>9.4500000000000028E-2</v>
      </c>
      <c r="AS32" s="355">
        <f t="shared" si="0"/>
        <v>0.28950000000000015</v>
      </c>
      <c r="AT32" s="353"/>
      <c r="AU32" s="302">
        <f t="shared" si="1"/>
        <v>2.9000000000000012</v>
      </c>
    </row>
    <row r="33" spans="22:47">
      <c r="V33" s="93" t="s">
        <v>66</v>
      </c>
      <c r="W33" s="84" t="s">
        <v>32</v>
      </c>
      <c r="AQ33" s="303">
        <f t="shared" si="2"/>
        <v>3.0000000000000013</v>
      </c>
      <c r="AR33" s="354">
        <f t="shared" si="4"/>
        <v>9.9500000000000033E-2</v>
      </c>
      <c r="AS33" s="354">
        <f t="shared" si="0"/>
        <v>0.29950000000000015</v>
      </c>
      <c r="AT33" s="354">
        <f>100%-0.0005</f>
        <v>0.99950000000000006</v>
      </c>
      <c r="AU33" s="303">
        <f t="shared" si="1"/>
        <v>3.0000000000000013</v>
      </c>
    </row>
    <row r="34" spans="22:47">
      <c r="V34" s="84" t="s">
        <v>77</v>
      </c>
      <c r="W34" s="84" t="s">
        <v>32</v>
      </c>
      <c r="AQ34" s="302">
        <f t="shared" si="2"/>
        <v>3.1000000000000014</v>
      </c>
      <c r="AR34" s="355">
        <f t="shared" si="4"/>
        <v>0.10450000000000004</v>
      </c>
      <c r="AS34" s="355">
        <f t="shared" si="0"/>
        <v>0.30950000000000016</v>
      </c>
      <c r="AU34" s="302">
        <f t="shared" si="1"/>
        <v>3.1000000000000014</v>
      </c>
    </row>
    <row r="35" spans="22:47">
      <c r="V35" s="84" t="s">
        <v>78</v>
      </c>
      <c r="W35" s="84" t="s">
        <v>32</v>
      </c>
      <c r="AQ35" s="302">
        <f t="shared" si="2"/>
        <v>3.2000000000000015</v>
      </c>
      <c r="AR35" s="355">
        <f t="shared" si="4"/>
        <v>0.10950000000000004</v>
      </c>
      <c r="AS35" s="355">
        <f t="shared" si="0"/>
        <v>0.31950000000000017</v>
      </c>
      <c r="AU35" s="302">
        <f t="shared" si="1"/>
        <v>3.2000000000000015</v>
      </c>
    </row>
    <row r="36" spans="22:47">
      <c r="V36" s="84" t="s">
        <v>34</v>
      </c>
      <c r="W36" s="84" t="s">
        <v>32</v>
      </c>
      <c r="AQ36" s="302">
        <f t="shared" si="2"/>
        <v>3.3000000000000016</v>
      </c>
      <c r="AR36" s="355">
        <f t="shared" si="4"/>
        <v>0.11450000000000005</v>
      </c>
      <c r="AS36" s="355">
        <f t="shared" si="0"/>
        <v>0.32950000000000018</v>
      </c>
      <c r="AU36" s="302">
        <f t="shared" si="1"/>
        <v>3.3000000000000016</v>
      </c>
    </row>
    <row r="37" spans="22:47">
      <c r="V37" s="84" t="s">
        <v>31</v>
      </c>
      <c r="W37" s="84" t="s">
        <v>32</v>
      </c>
      <c r="AQ37" s="302">
        <f t="shared" si="2"/>
        <v>3.4000000000000017</v>
      </c>
      <c r="AR37" s="355">
        <f t="shared" si="4"/>
        <v>0.11950000000000005</v>
      </c>
      <c r="AS37" s="355">
        <f t="shared" si="0"/>
        <v>0.33950000000000019</v>
      </c>
      <c r="AU37" s="302">
        <f t="shared" si="1"/>
        <v>3.4000000000000017</v>
      </c>
    </row>
    <row r="38" spans="22:47">
      <c r="V38" s="84" t="s">
        <v>79</v>
      </c>
      <c r="W38" s="84" t="s">
        <v>32</v>
      </c>
      <c r="AQ38" s="302">
        <f t="shared" si="2"/>
        <v>3.5000000000000018</v>
      </c>
      <c r="AR38" s="355">
        <f t="shared" si="4"/>
        <v>0.12450000000000006</v>
      </c>
      <c r="AS38" s="355">
        <f t="shared" si="0"/>
        <v>0.3495000000000002</v>
      </c>
      <c r="AU38" s="302">
        <f t="shared" si="1"/>
        <v>3.5000000000000018</v>
      </c>
    </row>
    <row r="39" spans="22:47">
      <c r="V39" s="84" t="s">
        <v>97</v>
      </c>
      <c r="W39" s="84" t="s">
        <v>32</v>
      </c>
      <c r="AQ39" s="302">
        <f t="shared" si="2"/>
        <v>3.6000000000000019</v>
      </c>
      <c r="AR39" s="355">
        <f t="shared" si="4"/>
        <v>0.12950000000000006</v>
      </c>
      <c r="AS39" s="355">
        <f t="shared" si="0"/>
        <v>0.35950000000000021</v>
      </c>
      <c r="AU39" s="302">
        <f t="shared" si="1"/>
        <v>3.6000000000000019</v>
      </c>
    </row>
    <row r="40" spans="22:47">
      <c r="V40" s="84" t="s">
        <v>80</v>
      </c>
      <c r="W40" s="84" t="str">
        <f>E3</f>
        <v>Fossil Fuel</v>
      </c>
      <c r="AQ40" s="302">
        <f t="shared" si="2"/>
        <v>3.700000000000002</v>
      </c>
      <c r="AR40" s="355">
        <f t="shared" si="4"/>
        <v>0.13450000000000006</v>
      </c>
      <c r="AS40" s="355">
        <f t="shared" si="0"/>
        <v>0.36950000000000022</v>
      </c>
      <c r="AU40" s="302">
        <f t="shared" si="1"/>
        <v>3.700000000000002</v>
      </c>
    </row>
    <row r="41" spans="22:47">
      <c r="V41" s="94" t="s">
        <v>22</v>
      </c>
      <c r="W41" s="84"/>
      <c r="AQ41" s="302">
        <f t="shared" si="2"/>
        <v>3.800000000000002</v>
      </c>
      <c r="AR41" s="355">
        <f t="shared" si="4"/>
        <v>0.13950000000000007</v>
      </c>
      <c r="AS41" s="355">
        <f t="shared" si="0"/>
        <v>0.37950000000000023</v>
      </c>
      <c r="AU41" s="302">
        <f t="shared" si="1"/>
        <v>3.800000000000002</v>
      </c>
    </row>
    <row r="42" spans="22:47">
      <c r="AQ42" s="302">
        <f t="shared" si="2"/>
        <v>3.9000000000000021</v>
      </c>
      <c r="AR42" s="355">
        <f t="shared" si="4"/>
        <v>0.14450000000000007</v>
      </c>
      <c r="AS42" s="355">
        <f t="shared" si="0"/>
        <v>0.38950000000000023</v>
      </c>
      <c r="AU42" s="302">
        <f t="shared" si="1"/>
        <v>3.9000000000000021</v>
      </c>
    </row>
    <row r="43" spans="22:47">
      <c r="AQ43" s="303">
        <f t="shared" si="2"/>
        <v>4.0000000000000018</v>
      </c>
      <c r="AR43" s="354">
        <f t="shared" si="4"/>
        <v>0.14950000000000008</v>
      </c>
      <c r="AS43" s="354">
        <f t="shared" si="0"/>
        <v>0.39950000000000019</v>
      </c>
      <c r="AT43" s="304"/>
      <c r="AU43" s="303">
        <f t="shared" si="1"/>
        <v>4.0000000000000018</v>
      </c>
    </row>
    <row r="44" spans="22:47">
      <c r="AQ44" s="302">
        <f t="shared" si="2"/>
        <v>4.1000000000000014</v>
      </c>
      <c r="AR44" s="355">
        <f t="shared" si="4"/>
        <v>0.15450000000000008</v>
      </c>
      <c r="AS44" s="355">
        <f t="shared" si="0"/>
        <v>0.40950000000000014</v>
      </c>
      <c r="AU44" s="302">
        <f t="shared" si="1"/>
        <v>4.1000000000000014</v>
      </c>
    </row>
    <row r="45" spans="22:47">
      <c r="AQ45" s="302">
        <f t="shared" si="2"/>
        <v>4.2000000000000011</v>
      </c>
      <c r="AR45" s="355">
        <f t="shared" si="4"/>
        <v>0.15950000000000009</v>
      </c>
      <c r="AS45" s="355">
        <f t="shared" si="0"/>
        <v>0.4195000000000001</v>
      </c>
      <c r="AU45" s="302">
        <f t="shared" si="1"/>
        <v>4.2000000000000011</v>
      </c>
    </row>
    <row r="46" spans="22:47">
      <c r="AQ46" s="302">
        <f t="shared" si="2"/>
        <v>4.3000000000000007</v>
      </c>
      <c r="AR46" s="355">
        <f t="shared" si="4"/>
        <v>0.16450000000000009</v>
      </c>
      <c r="AS46" s="355">
        <f t="shared" si="0"/>
        <v>0.42950000000000005</v>
      </c>
      <c r="AU46" s="302">
        <f t="shared" si="1"/>
        <v>4.3000000000000007</v>
      </c>
    </row>
    <row r="47" spans="22:47">
      <c r="AQ47" s="302">
        <f t="shared" si="2"/>
        <v>4.4000000000000004</v>
      </c>
      <c r="AR47" s="355">
        <f t="shared" si="4"/>
        <v>0.1695000000000001</v>
      </c>
      <c r="AS47" s="355">
        <f t="shared" si="0"/>
        <v>0.43950000000000006</v>
      </c>
      <c r="AU47" s="302">
        <f t="shared" si="1"/>
        <v>4.4000000000000004</v>
      </c>
    </row>
    <row r="48" spans="22:47">
      <c r="AQ48" s="302">
        <f t="shared" si="2"/>
        <v>4.5</v>
      </c>
      <c r="AR48" s="355">
        <f t="shared" si="4"/>
        <v>0.1745000000000001</v>
      </c>
      <c r="AS48" s="355">
        <f t="shared" si="0"/>
        <v>0.44950000000000001</v>
      </c>
      <c r="AU48" s="302">
        <f t="shared" si="1"/>
        <v>4.5</v>
      </c>
    </row>
    <row r="49" spans="43:47">
      <c r="AQ49" s="302">
        <f t="shared" si="2"/>
        <v>4.5999999999999996</v>
      </c>
      <c r="AR49" s="355">
        <f t="shared" si="4"/>
        <v>0.1795000000000001</v>
      </c>
      <c r="AS49" s="355">
        <f t="shared" si="0"/>
        <v>0.45949999999999996</v>
      </c>
      <c r="AU49" s="302">
        <f t="shared" si="1"/>
        <v>4.5999999999999996</v>
      </c>
    </row>
    <row r="50" spans="43:47">
      <c r="AQ50" s="302">
        <f t="shared" si="2"/>
        <v>4.6999999999999993</v>
      </c>
      <c r="AR50" s="355">
        <f t="shared" si="4"/>
        <v>0.18450000000000011</v>
      </c>
      <c r="AS50" s="355">
        <f t="shared" si="0"/>
        <v>0.46949999999999992</v>
      </c>
      <c r="AU50" s="302">
        <f t="shared" si="1"/>
        <v>4.6999999999999993</v>
      </c>
    </row>
    <row r="51" spans="43:47">
      <c r="AQ51" s="302">
        <f t="shared" si="2"/>
        <v>4.7999999999999989</v>
      </c>
      <c r="AR51" s="355">
        <f t="shared" si="4"/>
        <v>0.18950000000000011</v>
      </c>
      <c r="AS51" s="355">
        <f t="shared" si="0"/>
        <v>0.47949999999999987</v>
      </c>
      <c r="AU51" s="302">
        <f t="shared" si="1"/>
        <v>4.7999999999999989</v>
      </c>
    </row>
    <row r="52" spans="43:47">
      <c r="AQ52" s="302">
        <f t="shared" si="2"/>
        <v>4.8999999999999986</v>
      </c>
      <c r="AR52" s="355">
        <f t="shared" si="4"/>
        <v>0.19450000000000012</v>
      </c>
      <c r="AS52" s="355">
        <f t="shared" si="0"/>
        <v>0.48949999999999988</v>
      </c>
      <c r="AU52" s="302">
        <f t="shared" si="1"/>
        <v>4.8999999999999986</v>
      </c>
    </row>
    <row r="53" spans="43:47">
      <c r="AQ53" s="303">
        <f t="shared" si="2"/>
        <v>4.9999999999999982</v>
      </c>
      <c r="AR53" s="354">
        <f t="shared" si="4"/>
        <v>0.19950000000000012</v>
      </c>
      <c r="AS53" s="354">
        <f t="shared" si="0"/>
        <v>0.49949999999999983</v>
      </c>
      <c r="AT53" s="304"/>
      <c r="AU53" s="303">
        <f t="shared" si="1"/>
        <v>4.9999999999999982</v>
      </c>
    </row>
    <row r="54" spans="43:47">
      <c r="AS54" s="355"/>
    </row>
    <row r="55" spans="43:47">
      <c r="AQ55" s="303" t="s">
        <v>315</v>
      </c>
      <c r="AR55" s="354">
        <f>25%-0.0005</f>
        <v>0.2495</v>
      </c>
      <c r="AS55" s="354">
        <f>60%-0.0005</f>
        <v>0.59950000000000003</v>
      </c>
      <c r="AT55" s="304"/>
      <c r="AU55" s="303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955FC2011C74DAFB5091C8C65621E" ma:contentTypeVersion="4" ma:contentTypeDescription="Create a new document." ma:contentTypeScope="" ma:versionID="7f6c97fb7a06df505478e92e7517e0ea">
  <xsd:schema xmlns:xsd="http://www.w3.org/2001/XMLSchema" xmlns:xs="http://www.w3.org/2001/XMLSchema" xmlns:p="http://schemas.microsoft.com/office/2006/metadata/properties" xmlns:ns2="b2121210-611a-4d8e-8628-fc3c79066193" targetNamespace="http://schemas.microsoft.com/office/2006/metadata/properties" ma:root="true" ma:fieldsID="dbd8b422d9bdc10affd90fcbe9bba002" ns2:_="">
    <xsd:import namespace="b2121210-611a-4d8e-8628-fc3c790661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21210-611a-4d8e-8628-fc3c79066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5E885FA0-4BC9-4EB3-A0EE-3B952E3FF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21210-611a-4d8e-8628-fc3c79066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C726812C-D74A-44DB-A2EF-C80629319333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FB357C5C-3892-4489-85ED-A5403A276EA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b2121210-611a-4d8e-8628-fc3c7906619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27</vt:i4>
      </vt:variant>
    </vt:vector>
  </HeadingPairs>
  <TitlesOfParts>
    <vt:vector size="32" baseType="lpstr">
      <vt:lpstr>Instructions</vt:lpstr>
      <vt:lpstr>Renewable Energy</vt:lpstr>
      <vt:lpstr>Site_Energy_No_Model</vt:lpstr>
      <vt:lpstr>Summary</vt:lpstr>
      <vt:lpstr>LookupData</vt:lpstr>
      <vt:lpstr>Building_Type_List</vt:lpstr>
      <vt:lpstr>Building_Type_Table</vt:lpstr>
      <vt:lpstr>Contract_Date_List</vt:lpstr>
      <vt:lpstr>Default_Electricity_No_Model</vt:lpstr>
      <vt:lpstr>Default_Fuel_No_Model</vt:lpstr>
      <vt:lpstr>Energy_Units_List</vt:lpstr>
      <vt:lpstr>Energy_Units_Table</vt:lpstr>
      <vt:lpstr>IP_SI_Units</vt:lpstr>
      <vt:lpstr>LEED_Renewable_Category</vt:lpstr>
      <vt:lpstr>Lookup_Tier1_Points</vt:lpstr>
      <vt:lpstr>Lookup_Tier2_Points</vt:lpstr>
      <vt:lpstr>Lookup_Tier3_Points</vt:lpstr>
      <vt:lpstr>NA_owned</vt:lpstr>
      <vt:lpstr>Renewable_Location_Table</vt:lpstr>
      <vt:lpstr>Renewable_Source_Table</vt:lpstr>
      <vt:lpstr>Select_Contract_Length</vt:lpstr>
      <vt:lpstr>Site_Energy_Table</vt:lpstr>
      <vt:lpstr>Tier1_Location_List</vt:lpstr>
      <vt:lpstr>Tier1_Procurement_Type</vt:lpstr>
      <vt:lpstr>Tier1_Renewable_Type</vt:lpstr>
      <vt:lpstr>Tier2_3_Location_List</vt:lpstr>
      <vt:lpstr>Tier2_Procurement_Type</vt:lpstr>
      <vt:lpstr>Tier2_Renewable_Type</vt:lpstr>
      <vt:lpstr>Tier3_Procurement_Type</vt:lpstr>
      <vt:lpstr>Tier3_Renewable_Type</vt:lpstr>
      <vt:lpstr>Units_Consumption</vt:lpstr>
      <vt:lpstr>Years_Lookup</vt:lpstr>
    </vt:vector>
  </TitlesOfParts>
  <Company>US Green Building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USGBC</dc:creator>
  <cp:lastModifiedBy>Gail Hampsmire</cp:lastModifiedBy>
  <cp:lastPrinted>2009-12-08T22:20:10Z</cp:lastPrinted>
  <dcterms:created xsi:type="dcterms:W3CDTF">2009-11-06T14:53:57Z</dcterms:created>
  <dcterms:modified xsi:type="dcterms:W3CDTF">2022-08-02T13:27:46Z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0x010100D72955FC2011C74DAFB5091C8C65621E</vt:lpwstr>
  </property>
</Properties>
</file>